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DKU8hoOn98NcVX4kCqcQvkLST0RipESIhdM0EambNhcXPaj4FOtPBvG0F4wohdb+yaInVsL+dkbHebpjCy18XA==" workbookSaltValue="62fc7RmtFc4Dg0Mqn5d9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AP10" i="2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BF16" i="13"/>
  <c r="BG16" i="13"/>
  <c r="BB20"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AW20" i="21"/>
  <c r="C14" i="7"/>
  <c r="H12" i="2"/>
  <c r="R21" i="8"/>
  <c r="BA14" i="8"/>
  <c r="BG10" i="8"/>
  <c r="K10" i="7" s="1"/>
  <c r="AY14" i="8"/>
  <c r="F13" i="2"/>
  <c r="M20" i="2"/>
  <c r="N20" i="2"/>
  <c r="X12" i="21"/>
  <c r="T9" i="11"/>
  <c r="BL9" i="11"/>
  <c r="BH18" i="16"/>
  <c r="BH16" i="16"/>
  <c r="Q18" i="20"/>
  <c r="Q20" i="20" s="1"/>
  <c r="BF18" i="11"/>
  <c r="BK19" i="11"/>
  <c r="BK9" i="11"/>
  <c r="S9" i="17"/>
  <c r="BM12" i="1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BM9" i="11"/>
  <c r="BH12" i="16"/>
  <c r="BK10" i="11"/>
  <c r="S16" i="17"/>
  <c r="L12" i="2"/>
  <c r="L18" i="2"/>
  <c r="L19" i="2"/>
  <c r="L9" i="2"/>
  <c r="V9" i="16"/>
  <c r="BH11" i="16"/>
  <c r="BK13" i="11"/>
  <c r="BG10" i="11"/>
  <c r="BM17" i="11"/>
  <c r="V11" i="16"/>
  <c r="BH19" i="11"/>
  <c r="BF10" i="11"/>
  <c r="AZ19" i="11"/>
  <c r="V12" i="21"/>
  <c r="V18" i="16"/>
  <c r="BK16" i="11"/>
  <c r="X18" i="17"/>
  <c r="S18" i="17"/>
  <c r="U9" i="17"/>
  <c r="U21" i="17" s="1"/>
  <c r="X19" i="16"/>
  <c r="X16" i="16"/>
  <c r="X20" i="16" s="1"/>
  <c r="L13" i="2"/>
  <c r="S17" i="17"/>
  <c r="BL17" i="11"/>
  <c r="AQ12" i="21"/>
  <c r="BF16" i="11"/>
  <c r="Q16" i="17"/>
  <c r="Q20" i="17" s="1"/>
  <c r="S10" i="17"/>
  <c r="BI9" i="11"/>
  <c r="Q18" i="17"/>
  <c r="T17" i="11"/>
  <c r="AA16" i="16"/>
  <c r="BV9" i="16"/>
  <c r="V12" i="16"/>
  <c r="BV10" i="16"/>
  <c r="BW11" i="20"/>
  <c r="BV16" i="16"/>
  <c r="BV17" i="16"/>
  <c r="BV13" i="16"/>
  <c r="BV19" i="16"/>
  <c r="T16" i="16"/>
  <c r="BM16" i="11"/>
  <c r="BL13" i="11"/>
  <c r="BL11" i="11"/>
  <c r="AP16" i="20"/>
  <c r="BM13" i="11"/>
  <c r="BI16" i="11"/>
  <c r="V13" i="11"/>
  <c r="F11" i="16"/>
  <c r="BL11" i="16" s="1"/>
  <c r="Q10" i="21"/>
  <c r="BI10" i="11"/>
  <c r="V11" i="11"/>
  <c r="BK11" i="11"/>
  <c r="BL12" i="11"/>
  <c r="S18" i="16"/>
  <c r="S20" i="16" s="1"/>
  <c r="AO16" i="17"/>
  <c r="BF17" i="11"/>
  <c r="BK12" i="11"/>
  <c r="BL18" i="11"/>
  <c r="P18" i="17"/>
  <c r="BJ19" i="11"/>
  <c r="BH19" i="16"/>
  <c r="BF19" i="11"/>
  <c r="BH16" i="11"/>
  <c r="BJ18" i="11"/>
  <c r="BF13"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<sst xmlns="http://schemas.openxmlformats.org/spreadsheetml/2006/main" count="2229" uniqueCount="979">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</sst>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I3r2l0rwN23VMJEIEu5OGyk73wjUDsVIRByDpOftG2Xe/0C8K/1NZDExJsAwPaVipPbwVt7qTzGwpco6zBbDg==" saltValue="aqFPVBmnMda9C+Oi7tG9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155</v>
      </c>
      <c r="D10" s="230">
        <f>IF(ISNUMBER(Datos!I10),Datos!I10," - ")</f>
        <v>155</v>
      </c>
      <c r="E10" s="231">
        <f>IF(ISNUMBER(Datos!J10),Datos!J10," - ")</f>
        <v>32</v>
      </c>
      <c r="F10" s="231">
        <f>IF(ISNUMBER(Datos!K10),Datos!K10," - ")</f>
        <v>12</v>
      </c>
      <c r="G10" s="1193" t="str">
        <f>IF(Datos!E10&lt;&gt;"",Datos!E10,Datos!D10)</f>
        <v>37</v>
      </c>
      <c r="H10" s="232">
        <f>IF(ISNUMBER(Datos!L10),Datos!L10," - ")</f>
        <v>175</v>
      </c>
      <c r="I10" s="1203" t="str">
        <f>IF(ISNUMBER(Datos!AS10/Datos!BM10),Datos!AS10/Datos!BM10," - ")</f>
        <v xml:space="preserve"> - </v>
      </c>
      <c r="J10" s="1204">
        <f>IF(ISNUMBER(Datos!BY10/Datos!CN10),Datos!BY10/Datos!CN10," - ")</f>
        <v>0</v>
      </c>
      <c r="K10" s="235">
        <f t="shared" ref="K10:K13" si="1">IF(ISNUMBER((E10-F10)/C10),(E10-F10)/C10," - ")</f>
        <v>0.12903225806451613</v>
      </c>
      <c r="L10" s="1205">
        <f>IF(ISNUMBER(NºAsuntos!I10/NºAsuntos!G10),(NºAsuntos!I10/NºAsuntos!G10)*11," - ")</f>
        <v>160.41666666666669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60.106723585912491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155</v>
      </c>
      <c r="D14" s="1210">
        <f>SUBTOTAL(9,D9:D13)</f>
        <v>155</v>
      </c>
      <c r="E14" s="1211">
        <f>SUBTOTAL(9,E9:E13)</f>
        <v>32</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3994</v>
      </c>
      <c r="D17" s="230">
        <f>IF(ISNUMBER(IF(D_I="SI",Datos!I17,Datos!I17+Datos!AC17)),IF(D_I="SI",Datos!I17,Datos!I17+Datos!AC17)," - ")</f>
        <v>3962</v>
      </c>
      <c r="E17" s="231">
        <f>IF(ISNUMBER(IF(D_I="SI",Datos!J17,Datos!J17+Datos!AD17)),IF(D_I="SI",Datos!J17,Datos!J17+Datos!AD17)," - ")</f>
        <v>1442</v>
      </c>
      <c r="F17" s="231">
        <f>IF(ISNUMBER(IF(D_I="SI",Datos!K17,Datos!K17+Datos!AE17)),IF(D_I="SI",Datos!K17,Datos!K17+Datos!AE17)," - ")</f>
        <v>1409</v>
      </c>
      <c r="G17" s="1193" t="str">
        <f>IF(Datos!E17&lt;&gt;"",Datos!E17,Datos!D17)</f>
        <v>04</v>
      </c>
      <c r="H17" s="232">
        <f>IF(ISNUMBER(IF(D_I="SI",Datos!L17,Datos!L17+Datos!AF17)),IF(D_I="SI",Datos!L17,Datos!L17+Datos!AF17)," - ")</f>
        <v>4027</v>
      </c>
      <c r="I17" s="1203" t="str">
        <f>IF(ISNUMBER(Datos!AS17/Datos!BM17),Datos!AS17/Datos!BM17," - ")</f>
        <v xml:space="preserve"> - </v>
      </c>
      <c r="J17" s="1204">
        <f>IF(ISNUMBER(Datos!BY17/Datos!CN17),Datos!BY17/Datos!CN17," - ")</f>
        <v>0</v>
      </c>
      <c r="K17" s="235">
        <f t="shared" si="3"/>
        <v>8.2623935903855788E-3</v>
      </c>
      <c r="L17" s="1205">
        <f>IF(ISNUMBER(NºAsuntos!I17/NºAsuntos!G17),(NºAsuntos!I17/NºAsuntos!G17)*11," - ")</f>
        <v>31.43860894251242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147</v>
      </c>
      <c r="D18" s="230">
        <f>IF(ISNUMBER(IF(D_I="SI",Datos!I18,Datos!I18+Datos!AC18)),IF(D_I="SI",Datos!I18,Datos!I18+Datos!AC18)," - ")</f>
        <v>147</v>
      </c>
      <c r="E18" s="231">
        <f>IF(ISNUMBER(IF(D_I="SI",Datos!J18,Datos!J18+Datos!AD18)),IF(D_I="SI",Datos!J18,Datos!J18+Datos!AD18)," - ")</f>
        <v>168</v>
      </c>
      <c r="F18" s="231">
        <f>IF(ISNUMBER(IF(D_I="SI",Datos!K18,Datos!K18+Datos!AE18)),IF(D_I="SI",Datos!K18,Datos!K18+Datos!AE18)," - ")</f>
        <v>122</v>
      </c>
      <c r="G18" s="1193" t="str">
        <f>IF(Datos!E18&lt;&gt;"",Datos!E18,Datos!D18)</f>
        <v>37</v>
      </c>
      <c r="H18" s="232">
        <f>IF(ISNUMBER(IF(D_I="SI",Datos!L18,Datos!L18+Datos!AF18)),IF(D_I="SI",Datos!L18,Datos!L18+Datos!AF18)," - ")</f>
        <v>193</v>
      </c>
      <c r="I18" s="1203" t="str">
        <f>IF(ISNUMBER(Datos!AS18/Datos!BM18),Datos!AS18/Datos!BM18," - ")</f>
        <v xml:space="preserve"> - </v>
      </c>
      <c r="J18" s="1204" t="str">
        <f>IF(ISNUMBER((Datos!BY18+Datos!BZ18)/Datos!CN18),(Datos!BY18+Datos!BZ18)/Datos!CN18," - ")</f>
        <v xml:space="preserve"> - </v>
      </c>
      <c r="K18" s="235">
        <f t="shared" si="3"/>
        <v>0.31292517006802723</v>
      </c>
      <c r="L18" s="1205">
        <f>IF(ISNUMBER(NºAsuntos!I18/NºAsuntos!G18),(NºAsuntos!I18/NºAsuntos!G18)*11," - ")</f>
        <v>17.401639344262296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4141</v>
      </c>
      <c r="D20" s="1210">
        <f>SUBTOTAL(9,D16:D19)</f>
        <v>4109</v>
      </c>
      <c r="E20" s="1211">
        <f>SUBTOTAL(9,E16:E19)</f>
        <v>1610</v>
      </c>
      <c r="F20" s="1211">
        <f>SUBTOTAL(9,F16:F19)</f>
        <v>1531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4296</v>
      </c>
      <c r="D21" s="1232">
        <f>SUBTOTAL(9,D9:D20)</f>
        <v>4264</v>
      </c>
      <c r="E21" s="1233">
        <f>SUBTOTAL(9,E9:E20)</f>
        <v>1642</v>
      </c>
      <c r="F21" s="1233">
        <f>SUBTOTAL(9,F9:F20)</f>
        <v>1543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FmrHshKEyb5lYYE6lcYDH9xU3c1axOZZJg9ZfX10/kGDtjYgOMLFA1ZI785DYSf0QVpinqZYJgcbMK6u/BUIg==" saltValue="Q++EsgTpzjIYNQFed1SFE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CBqEoHvQQiEfqV7d4+LYC5U0D17yCauOrw/ike82j1hR4Ej96Haj2nKizzZJga+gWJtTUMgX0/SamuXz1TzVw==" saltValue="qYaddinqiD+ff51GfOIy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155</v>
      </c>
      <c r="J10" s="186">
        <v>32</v>
      </c>
      <c r="K10" s="186">
        <v>12</v>
      </c>
      <c r="L10" s="186">
        <v>175</v>
      </c>
      <c r="M10" s="186">
        <v>6</v>
      </c>
      <c r="N10" s="186">
        <v>4</v>
      </c>
      <c r="O10" s="186">
        <v>2</v>
      </c>
      <c r="P10" s="186">
        <v>5</v>
      </c>
      <c r="Q10" s="186">
        <v>0</v>
      </c>
      <c r="R10" s="186">
        <v>162</v>
      </c>
      <c r="S10" s="186">
        <v>146</v>
      </c>
      <c r="T10" s="186">
        <v>16</v>
      </c>
      <c r="U10" s="186">
        <v>34</v>
      </c>
      <c r="V10" s="186">
        <v>128</v>
      </c>
      <c r="W10" s="186">
        <v>23</v>
      </c>
      <c r="X10" s="193">
        <v>11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146</v>
      </c>
      <c r="AZ10" s="131">
        <f t="shared" si="0"/>
        <v>16</v>
      </c>
      <c r="BA10" s="131">
        <f t="shared" si="0"/>
        <v>34</v>
      </c>
      <c r="BB10" s="131">
        <f t="shared" si="0"/>
        <v>128</v>
      </c>
      <c r="BC10" s="127">
        <f t="shared" si="0"/>
        <v>23</v>
      </c>
      <c r="BD10" s="128">
        <f>IF(ISNUMBER(BA10/AZ10),BA10/AZ10," - ")</f>
        <v>2.125</v>
      </c>
      <c r="BE10" s="129">
        <f>IF(ISNUMBER(BB10/BA10),BB10/BA10, " - ")</f>
        <v>3.7647058823529411</v>
      </c>
      <c r="BF10" s="129">
        <f>IF(ISNUMBER(BC10/BA10),BC10/BA10, " - ")</f>
        <v>0.67647058823529416</v>
      </c>
      <c r="BG10" s="201">
        <f>IF(ISNUMBER((AY10+AZ10)/BA10),(AY10+AZ10)/BA10," - ")</f>
        <v>4.7647058823529411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9720</v>
      </c>
      <c r="J12" s="188">
        <v>1805</v>
      </c>
      <c r="K12" s="188">
        <v>1759</v>
      </c>
      <c r="L12" s="188">
        <v>9723</v>
      </c>
      <c r="M12" s="188">
        <v>353</v>
      </c>
      <c r="N12" s="188">
        <v>586</v>
      </c>
      <c r="O12" s="186">
        <v>852</v>
      </c>
      <c r="P12" s="188">
        <v>444</v>
      </c>
      <c r="Q12" s="188">
        <v>245</v>
      </c>
      <c r="R12" s="188">
        <v>11911</v>
      </c>
      <c r="S12" s="188">
        <v>7922</v>
      </c>
      <c r="T12" s="188">
        <v>1687</v>
      </c>
      <c r="U12" s="188">
        <v>1567</v>
      </c>
      <c r="V12" s="188">
        <v>8042</v>
      </c>
      <c r="W12" s="188">
        <v>343</v>
      </c>
      <c r="X12" s="194">
        <v>444</v>
      </c>
      <c r="Y12" s="196">
        <v>471</v>
      </c>
      <c r="Z12" s="186">
        <v>161</v>
      </c>
      <c r="AA12" s="186">
        <v>115</v>
      </c>
      <c r="AB12" s="186">
        <v>517</v>
      </c>
      <c r="AC12" s="188">
        <v>0</v>
      </c>
      <c r="AD12" s="188">
        <v>0</v>
      </c>
      <c r="AE12" s="188">
        <v>0</v>
      </c>
      <c r="AF12" s="194">
        <v>0</v>
      </c>
      <c r="AG12" s="207">
        <v>440</v>
      </c>
      <c r="AH12" s="188">
        <v>155</v>
      </c>
      <c r="AI12" s="188">
        <v>104</v>
      </c>
      <c r="AJ12" s="208">
        <v>476</v>
      </c>
      <c r="AK12" s="187">
        <v>0</v>
      </c>
      <c r="AL12" s="188">
        <v>0</v>
      </c>
      <c r="AM12" s="188">
        <v>0</v>
      </c>
      <c r="AN12" s="194">
        <v>0</v>
      </c>
      <c r="AO12" s="264">
        <v>7</v>
      </c>
      <c r="AP12" s="160">
        <v>7</v>
      </c>
      <c r="AQ12" s="160">
        <v>7</v>
      </c>
      <c r="AR12" s="159">
        <v>7</v>
      </c>
      <c r="AS12" s="350" t="s">
        <v>874</v>
      </c>
      <c r="AT12" s="208"/>
      <c r="AU12" s="207"/>
      <c r="AV12" s="208"/>
      <c r="AW12" s="207"/>
      <c r="AX12" s="208"/>
      <c r="AY12" s="128">
        <f t="shared" si="1"/>
        <v>8362</v>
      </c>
      <c r="AZ12" s="129">
        <f t="shared" si="1"/>
        <v>1842</v>
      </c>
      <c r="BA12" s="129">
        <f t="shared" si="1"/>
        <v>1671</v>
      </c>
      <c r="BB12" s="129">
        <f t="shared" si="1"/>
        <v>8518</v>
      </c>
      <c r="BC12" s="127">
        <f>IF(ISNUMBER(X12),X12," - ")</f>
        <v>444</v>
      </c>
      <c r="BD12" s="128">
        <f t="shared" si="2"/>
        <v>0.90716612377850159</v>
      </c>
      <c r="BE12" s="129">
        <f t="shared" si="3"/>
        <v>5.097546379413525</v>
      </c>
      <c r="BF12" s="129">
        <f t="shared" si="4"/>
        <v>0.26570915619389585</v>
      </c>
      <c r="BG12" s="201">
        <f t="shared" si="5"/>
        <v>6.1065230400957509</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9875</v>
      </c>
      <c r="J14" s="189">
        <f t="shared" si="7"/>
        <v>1837</v>
      </c>
      <c r="K14" s="189">
        <f t="shared" si="7"/>
        <v>1771</v>
      </c>
      <c r="L14" s="189">
        <f t="shared" si="7"/>
        <v>9898</v>
      </c>
      <c r="M14" s="189">
        <f t="shared" si="7"/>
        <v>359</v>
      </c>
      <c r="N14" s="189">
        <f t="shared" si="7"/>
        <v>590</v>
      </c>
      <c r="O14" s="189">
        <f t="shared" si="7"/>
        <v>854</v>
      </c>
      <c r="P14" s="189">
        <f t="shared" si="7"/>
        <v>449</v>
      </c>
      <c r="Q14" s="189">
        <f t="shared" si="7"/>
        <v>245</v>
      </c>
      <c r="R14" s="189">
        <f t="shared" si="7"/>
        <v>12073</v>
      </c>
      <c r="S14" s="189">
        <f t="shared" si="7"/>
        <v>8068</v>
      </c>
      <c r="T14" s="189">
        <f t="shared" si="7"/>
        <v>1703</v>
      </c>
      <c r="U14" s="189">
        <f t="shared" si="7"/>
        <v>1601</v>
      </c>
      <c r="V14" s="189">
        <f t="shared" si="7"/>
        <v>8170</v>
      </c>
      <c r="W14" s="189">
        <f t="shared" si="7"/>
        <v>366</v>
      </c>
      <c r="X14" s="189">
        <f t="shared" si="7"/>
        <v>455</v>
      </c>
      <c r="Y14" s="189">
        <f t="shared" si="7"/>
        <v>471</v>
      </c>
      <c r="Z14" s="189">
        <f t="shared" si="7"/>
        <v>161</v>
      </c>
      <c r="AA14" s="189">
        <f t="shared" si="7"/>
        <v>115</v>
      </c>
      <c r="AB14" s="189">
        <f t="shared" si="7"/>
        <v>517</v>
      </c>
      <c r="AC14" s="189">
        <f t="shared" si="7"/>
        <v>0</v>
      </c>
      <c r="AD14" s="189">
        <f t="shared" si="7"/>
        <v>0</v>
      </c>
      <c r="AE14" s="189">
        <f t="shared" si="7"/>
        <v>0</v>
      </c>
      <c r="AF14" s="189">
        <f>SUBTOTAL(9,AF9:AF13)</f>
        <v>0</v>
      </c>
      <c r="AG14" s="189">
        <f t="shared" ref="AG14:AT14" si="8">SUBTOTAL(9,AG8:AG13)</f>
        <v>440</v>
      </c>
      <c r="AH14" s="189">
        <f t="shared" si="8"/>
        <v>155</v>
      </c>
      <c r="AI14" s="189">
        <f t="shared" si="8"/>
        <v>104</v>
      </c>
      <c r="AJ14" s="189">
        <f t="shared" si="8"/>
        <v>476</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8508</v>
      </c>
      <c r="AZ14" s="189">
        <f>SUBTOTAL(9,AZ8:AZ13)</f>
        <v>1858</v>
      </c>
      <c r="BA14" s="189">
        <f>SUBTOTAL(9,BA8:BA13)</f>
        <v>1705</v>
      </c>
      <c r="BB14" s="189">
        <f>SUBTOTAL(9,BB8:BB13)</f>
        <v>8646</v>
      </c>
      <c r="BC14" s="189">
        <f>SUBTOTAL(9,BC8:BC13)</f>
        <v>467</v>
      </c>
      <c r="BD14" s="210">
        <f>IF(ISNUMBER(BA14/AZ14),BA14/AZ14," - ")</f>
        <v>0.91765339074273411</v>
      </c>
      <c r="BE14" s="211">
        <f>IF(ISNUMBER(BB14/BA14),BB14/BA14, " - ")</f>
        <v>5.0709677419354842</v>
      </c>
      <c r="BF14" s="211">
        <f>IF(ISNUMBER(BC14/BA14),BC14/BA14, " - ")</f>
        <v>0.27390029325513199</v>
      </c>
      <c r="BG14" s="212">
        <f>IF(ISNUMBER((AY14+AZ14)/BA14),(AY14+AZ14)/BA14," - ")</f>
        <v>6.0797653958944284</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3962</v>
      </c>
      <c r="J17" s="188">
        <v>1442</v>
      </c>
      <c r="K17" s="188">
        <v>1409</v>
      </c>
      <c r="L17" s="188">
        <v>4027</v>
      </c>
      <c r="M17" s="188">
        <v>194</v>
      </c>
      <c r="N17" s="188">
        <v>686</v>
      </c>
      <c r="O17" s="186">
        <v>7</v>
      </c>
      <c r="P17" s="188">
        <v>34</v>
      </c>
      <c r="Q17" s="188">
        <v>11</v>
      </c>
      <c r="R17" s="188">
        <v>445</v>
      </c>
      <c r="S17" s="188">
        <v>3760</v>
      </c>
      <c r="T17" s="188">
        <v>1279</v>
      </c>
      <c r="U17" s="188">
        <v>1448</v>
      </c>
      <c r="V17" s="188">
        <v>3634</v>
      </c>
      <c r="W17" s="188">
        <v>202</v>
      </c>
      <c r="X17" s="194">
        <v>809</v>
      </c>
      <c r="Y17" s="207">
        <v>0</v>
      </c>
      <c r="Z17" s="188">
        <v>0</v>
      </c>
      <c r="AA17" s="188">
        <v>0</v>
      </c>
      <c r="AB17" s="188">
        <v>0</v>
      </c>
      <c r="AC17" s="188">
        <v>0</v>
      </c>
      <c r="AD17" s="188">
        <v>5</v>
      </c>
      <c r="AE17" s="188">
        <v>5</v>
      </c>
      <c r="AF17" s="194">
        <v>0</v>
      </c>
      <c r="AG17" s="207">
        <v>0</v>
      </c>
      <c r="AH17" s="188">
        <v>0</v>
      </c>
      <c r="AI17" s="188">
        <v>0</v>
      </c>
      <c r="AJ17" s="208">
        <v>0</v>
      </c>
      <c r="AK17" s="187">
        <v>0</v>
      </c>
      <c r="AL17" s="188">
        <v>17</v>
      </c>
      <c r="AM17" s="188">
        <v>17</v>
      </c>
      <c r="AN17" s="194">
        <v>0</v>
      </c>
      <c r="AO17" s="264">
        <v>7</v>
      </c>
      <c r="AP17" s="160">
        <v>7</v>
      </c>
      <c r="AQ17" s="160">
        <v>7</v>
      </c>
      <c r="AR17" s="160">
        <v>7</v>
      </c>
      <c r="AS17" s="350" t="s">
        <v>545</v>
      </c>
      <c r="AT17" s="208"/>
      <c r="AU17" s="207"/>
      <c r="AV17" s="208"/>
      <c r="AW17" s="207"/>
      <c r="AX17" s="208"/>
      <c r="AY17" s="128">
        <f t="shared" si="10"/>
        <v>3760</v>
      </c>
      <c r="AZ17" s="129">
        <f t="shared" si="10"/>
        <v>1279</v>
      </c>
      <c r="BA17" s="129">
        <f t="shared" si="10"/>
        <v>1448</v>
      </c>
      <c r="BB17" s="129">
        <f t="shared" si="10"/>
        <v>3634</v>
      </c>
      <c r="BC17" s="127">
        <f>IF(ISNUMBER(W17),W17," - ")</f>
        <v>202</v>
      </c>
      <c r="BD17" s="128">
        <f t="shared" ref="BD17:BD19" si="12">IF(ISNUMBER(BA17/AZ17),BA17/AZ17," - ")</f>
        <v>1.1321344800625488</v>
      </c>
      <c r="BE17" s="129">
        <f t="shared" ref="BE17:BE19" si="13">IF(ISNUMBER(BB17/BA17),BB17/BA17, " - ")</f>
        <v>2.5096685082872927</v>
      </c>
      <c r="BF17" s="129">
        <f t="shared" ref="BF17:BF19" si="14">IF(ISNUMBER(BC17/BA17),BC17/BA17, " - ")</f>
        <v>0.13950276243093923</v>
      </c>
      <c r="BG17" s="201">
        <f t="shared" si="11"/>
        <v>3.4799723756906076</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147</v>
      </c>
      <c r="J18" s="188">
        <v>168</v>
      </c>
      <c r="K18" s="188">
        <v>122</v>
      </c>
      <c r="L18" s="188">
        <v>193</v>
      </c>
      <c r="M18" s="188">
        <v>41</v>
      </c>
      <c r="N18" s="188">
        <v>54</v>
      </c>
      <c r="O18" s="188">
        <v>6</v>
      </c>
      <c r="P18" s="188">
        <v>7</v>
      </c>
      <c r="Q18" s="188">
        <v>6</v>
      </c>
      <c r="R18" s="188">
        <v>24</v>
      </c>
      <c r="S18" s="188">
        <v>145</v>
      </c>
      <c r="T18" s="188">
        <v>168</v>
      </c>
      <c r="U18" s="188">
        <v>210</v>
      </c>
      <c r="V18" s="188">
        <v>103</v>
      </c>
      <c r="W18" s="188">
        <v>30</v>
      </c>
      <c r="X18" s="194">
        <v>175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145</v>
      </c>
      <c r="AZ18" s="131">
        <f t="shared" si="15"/>
        <v>168</v>
      </c>
      <c r="BA18" s="131">
        <f t="shared" si="15"/>
        <v>210</v>
      </c>
      <c r="BB18" s="131">
        <f t="shared" si="15"/>
        <v>103</v>
      </c>
      <c r="BC18" s="127">
        <f>IF(ISNUMBER(W18),W18," - ")</f>
        <v>30</v>
      </c>
      <c r="BD18" s="128">
        <f>IF(ISNUMBER(BA18/AZ18),BA18/AZ18," - ")</f>
        <v>1.25</v>
      </c>
      <c r="BE18" s="129">
        <f>IF(ISNUMBER(BB18/BA18),BB18/BA18, " - ")</f>
        <v>0.49047619047619045</v>
      </c>
      <c r="BF18" s="129">
        <f>IF(ISNUMBER(BC18/BA18),BC18/BA18, " - ")</f>
        <v>0.14285714285714285</v>
      </c>
      <c r="BG18" s="201">
        <f>IF(ISNUMBER((AY18+AZ18)/BA18),(AY18+AZ18)/BA18," - ")</f>
        <v>1.4904761904761905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4109</v>
      </c>
      <c r="J20" s="189">
        <f t="shared" si="16"/>
        <v>1610</v>
      </c>
      <c r="K20" s="189">
        <f t="shared" si="16"/>
        <v>1531</v>
      </c>
      <c r="L20" s="189">
        <f t="shared" si="16"/>
        <v>4220</v>
      </c>
      <c r="M20" s="189">
        <f t="shared" si="16"/>
        <v>235</v>
      </c>
      <c r="N20" s="189">
        <f t="shared" si="16"/>
        <v>740</v>
      </c>
      <c r="O20" s="189">
        <f t="shared" si="16"/>
        <v>13</v>
      </c>
      <c r="P20" s="189">
        <f t="shared" si="16"/>
        <v>41</v>
      </c>
      <c r="Q20" s="189">
        <f t="shared" si="16"/>
        <v>17</v>
      </c>
      <c r="R20" s="189">
        <f t="shared" si="16"/>
        <v>469</v>
      </c>
      <c r="S20" s="189">
        <f t="shared" si="16"/>
        <v>3905</v>
      </c>
      <c r="T20" s="189">
        <f t="shared" si="16"/>
        <v>1447</v>
      </c>
      <c r="U20" s="189">
        <f t="shared" si="16"/>
        <v>1658</v>
      </c>
      <c r="V20" s="189">
        <f t="shared" si="16"/>
        <v>3737</v>
      </c>
      <c r="W20" s="189">
        <f t="shared" si="16"/>
        <v>232</v>
      </c>
      <c r="X20" s="189">
        <f t="shared" si="16"/>
        <v>984</v>
      </c>
      <c r="Y20" s="189">
        <f t="shared" si="16"/>
        <v>0</v>
      </c>
      <c r="Z20" s="189">
        <f t="shared" si="16"/>
        <v>0</v>
      </c>
      <c r="AA20" s="189">
        <f t="shared" si="16"/>
        <v>0</v>
      </c>
      <c r="AB20" s="189">
        <f t="shared" si="16"/>
        <v>0</v>
      </c>
      <c r="AC20" s="189">
        <f t="shared" si="16"/>
        <v>0</v>
      </c>
      <c r="AD20" s="189">
        <f t="shared" si="16"/>
        <v>5</v>
      </c>
      <c r="AE20" s="189">
        <f t="shared" si="16"/>
        <v>5</v>
      </c>
      <c r="AF20" s="189">
        <f t="shared" si="16"/>
        <v>0</v>
      </c>
      <c r="AG20" s="189">
        <f t="shared" si="16"/>
        <v>0</v>
      </c>
      <c r="AH20" s="189">
        <f t="shared" si="16"/>
        <v>0</v>
      </c>
      <c r="AI20" s="189">
        <f t="shared" si="16"/>
        <v>0</v>
      </c>
      <c r="AJ20" s="189">
        <f t="shared" si="16"/>
        <v>0</v>
      </c>
      <c r="AK20" s="189">
        <f t="shared" si="16"/>
        <v>0</v>
      </c>
      <c r="AL20" s="189">
        <f t="shared" si="16"/>
        <v>17</v>
      </c>
      <c r="AM20" s="189">
        <f t="shared" si="16"/>
        <v>17</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3905</v>
      </c>
      <c r="AZ20" s="189">
        <f>SUBTOTAL(9,AZ15:AZ19)</f>
        <v>1447</v>
      </c>
      <c r="BA20" s="189">
        <f>SUBTOTAL(9,BA15:BA19)</f>
        <v>1658</v>
      </c>
      <c r="BB20" s="189">
        <f>SUBTOTAL(9,BB15:BB19)</f>
        <v>3737</v>
      </c>
      <c r="BC20" s="189">
        <f>SUBTOTAL(9,BC15:BC19)</f>
        <v>232</v>
      </c>
      <c r="BD20" s="210">
        <f>IF(ISNUMBER(BA20/AZ20),BA20/AZ20," - ")</f>
        <v>1.1458189357290947</v>
      </c>
      <c r="BE20" s="211">
        <f>IF(ISNUMBER(BB20/BA20),BB20/BA20, " - ")</f>
        <v>2.2539203860072377</v>
      </c>
      <c r="BF20" s="211">
        <f>IF(ISNUMBER(BC20/BA20),BC20/BA20, " - ")</f>
        <v>0.13992762364294331</v>
      </c>
      <c r="BG20" s="212">
        <f>IF(ISNUMBER((AY20+AZ20)/BA20),(AY20+AZ20)/BA20," - ")</f>
        <v>3.2279855247285885</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13984</v>
      </c>
      <c r="J21" s="136">
        <f t="shared" si="19"/>
        <v>3447</v>
      </c>
      <c r="K21" s="136">
        <f t="shared" si="19"/>
        <v>3302</v>
      </c>
      <c r="L21" s="136">
        <f t="shared" si="19"/>
        <v>14118</v>
      </c>
      <c r="M21" s="136">
        <f t="shared" si="19"/>
        <v>594</v>
      </c>
      <c r="N21" s="136">
        <f t="shared" si="19"/>
        <v>1330</v>
      </c>
      <c r="O21" s="136">
        <f t="shared" si="19"/>
        <v>867</v>
      </c>
      <c r="P21" s="136">
        <f t="shared" si="19"/>
        <v>490</v>
      </c>
      <c r="Q21" s="136">
        <f t="shared" si="19"/>
        <v>262</v>
      </c>
      <c r="R21" s="136">
        <f t="shared" si="19"/>
        <v>12542</v>
      </c>
      <c r="S21" s="136">
        <f t="shared" si="19"/>
        <v>11973</v>
      </c>
      <c r="T21" s="136">
        <f t="shared" si="19"/>
        <v>3150</v>
      </c>
      <c r="U21" s="136">
        <f t="shared" si="19"/>
        <v>3259</v>
      </c>
      <c r="V21" s="136">
        <f t="shared" si="19"/>
        <v>11907</v>
      </c>
      <c r="W21" s="136">
        <f t="shared" si="19"/>
        <v>598</v>
      </c>
      <c r="X21" s="136">
        <f t="shared" si="19"/>
        <v>1439</v>
      </c>
      <c r="Y21" s="136">
        <f t="shared" si="19"/>
        <v>471</v>
      </c>
      <c r="Z21" s="136">
        <f t="shared" si="19"/>
        <v>161</v>
      </c>
      <c r="AA21" s="136">
        <f t="shared" si="19"/>
        <v>115</v>
      </c>
      <c r="AB21" s="136">
        <f t="shared" si="19"/>
        <v>517</v>
      </c>
      <c r="AC21" s="136">
        <f t="shared" si="19"/>
        <v>0</v>
      </c>
      <c r="AD21" s="136">
        <f t="shared" si="19"/>
        <v>5</v>
      </c>
      <c r="AE21" s="136">
        <f t="shared" si="19"/>
        <v>5</v>
      </c>
      <c r="AF21" s="136">
        <f t="shared" si="19"/>
        <v>0</v>
      </c>
      <c r="AG21" s="136">
        <f t="shared" si="19"/>
        <v>440</v>
      </c>
      <c r="AH21" s="136">
        <f t="shared" si="19"/>
        <v>155</v>
      </c>
      <c r="AI21" s="136">
        <f t="shared" si="19"/>
        <v>104</v>
      </c>
      <c r="AJ21" s="136">
        <f t="shared" si="19"/>
        <v>476</v>
      </c>
      <c r="AK21" s="136">
        <f t="shared" si="19"/>
        <v>0</v>
      </c>
      <c r="AL21" s="136">
        <f t="shared" si="19"/>
        <v>17</v>
      </c>
      <c r="AM21" s="136">
        <f t="shared" si="19"/>
        <v>17</v>
      </c>
      <c r="AN21" s="215">
        <f t="shared" si="19"/>
        <v>0</v>
      </c>
      <c r="AO21" s="216">
        <v>8</v>
      </c>
      <c r="AP21" s="216">
        <v>7</v>
      </c>
      <c r="AQ21" s="216">
        <v>7</v>
      </c>
      <c r="AR21" s="216">
        <v>7</v>
      </c>
      <c r="AS21" s="158">
        <f t="shared" si="19"/>
        <v>0</v>
      </c>
      <c r="AT21" s="158">
        <f t="shared" si="19"/>
        <v>0</v>
      </c>
      <c r="AU21" s="216"/>
      <c r="AV21" s="217"/>
      <c r="AW21" s="216"/>
      <c r="AX21" s="217"/>
      <c r="AY21" s="135">
        <f>SUBTOTAL(9,AY9:AY20)</f>
        <v>12413</v>
      </c>
      <c r="AZ21" s="136">
        <f>SUBTOTAL(9,AZ9:AZ20)</f>
        <v>3305</v>
      </c>
      <c r="BA21" s="136">
        <f>SUBTOTAL(9,BA9:BA20)</f>
        <v>3363</v>
      </c>
      <c r="BB21" s="136">
        <f>SUBTOTAL(9,BB9:BB20)</f>
        <v>12383</v>
      </c>
      <c r="BC21" s="137">
        <f>SUBTOTAL(9,BC9:BC20)</f>
        <v>699</v>
      </c>
      <c r="BD21" s="218">
        <f>IF(ISNUMBER(BA21/AZ21),BA21/AZ21," - ")</f>
        <v>1.0175491679273827</v>
      </c>
      <c r="BE21" s="215">
        <f>IF(ISNUMBER(BB21/BA21),BB21/BA21, " - ")</f>
        <v>3.6821290514421645</v>
      </c>
      <c r="BF21" s="215">
        <f>IF(ISNUMBER(BC21/BA21),BC21/BA21, " - ")</f>
        <v>0.20785013380909903</v>
      </c>
      <c r="BG21" s="137">
        <f>IF(ISNUMBER((AY21+AZ21)/BA21),(AY21+AZ21)/BA21," - ")</f>
        <v>4.6738031519476655</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GFtkvdb/B9iPficF1/H4hqA5jK9lgfzp6TY8HuUHDy9N/BzhyOIfY/vCU/3UmHUIq8rLK76Du2/s321Pi9TPA==" saltValue="es5xe06ycMTfzN0FdflQ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l8yjUfHCEfqfkyFjPJBLQ9B/d4PuHCbx7WJX4cjhAxLMV/YJGDGLeQB68ZQ/tnJJIh+Nc8vMT28DuHNvs42SQ==" saltValue="8oCyKsf8iGDHGlbE4B/u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MOLINA DE SEGURA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155</v>
      </c>
      <c r="G10" s="498">
        <f>IF(ISNUMBER(Datos!I10),Datos!I10," - ")</f>
        <v>155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175</v>
      </c>
      <c r="AG10" s="504"/>
      <c r="AH10" s="504"/>
      <c r="AI10" s="504"/>
      <c r="AJ10" s="504"/>
      <c r="AK10" s="504"/>
      <c r="AL10" s="505"/>
      <c r="AM10" s="672">
        <f>IF(ISNUMBER(Datos!R10),Datos!R10," - ")</f>
        <v>162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4</v>
      </c>
      <c r="BE10" s="620" t="str">
        <f>IF(ISNUMBER(Datos!BW10),Datos!BW10," - ")</f>
        <v xml:space="preserve"> - </v>
      </c>
      <c r="BF10" s="668" t="str">
        <f>IF(ISNUMBER(Datos!BX10),Datos!BX10," - ")</f>
        <v xml:space="preserve"> - </v>
      </c>
      <c r="BG10" s="669">
        <f>IF(ISNUMBER(Datos!K10/Datos!J10),Datos!K10/Datos!J10," - ")</f>
        <v>0.375</v>
      </c>
      <c r="BH10" s="670">
        <f>IF(ISNUMBER(((Datos!L10/Datos!K10)*11)/factor_trimestre),((Datos!L10/Datos!K10)*11)/factor_trimestre," - ")</f>
        <v>43.750000000000007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3.1847133757961783E-2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161</v>
      </c>
      <c r="O12" s="504"/>
      <c r="P12" s="504"/>
      <c r="Q12" s="502">
        <f>IF(ISNUMBER(Datos!P12),Datos!P12,0)</f>
        <v>444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517</v>
      </c>
      <c r="AI12" s="504" t="str">
        <f>IF(ISNUMBER(Datos!CD12),Datos!CD12,"-")</f>
        <v>-</v>
      </c>
      <c r="AJ12" s="504" t="str">
        <f>IF(ISNUMBER(Datos!EN12),Datos!EN12," - ")</f>
        <v xml:space="preserve"> - </v>
      </c>
      <c r="AK12" s="504"/>
      <c r="AL12" s="505"/>
      <c r="AM12" s="672">
        <f>IF(ISNUMBER(Datos!R12),Datos!R12," - ")</f>
        <v>11911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353</v>
      </c>
      <c r="BD12" s="620">
        <f>IF(ISNUMBER(Datos!N12),Datos!N12," - ")</f>
        <v>586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0.95320447609359105</v>
      </c>
      <c r="BH12" s="670">
        <f>IF(ISNUMBER(((IF(J_V="SI",Datos!L12/Datos!K12,(Datos!L12+Datos!AB12)/(Datos!K12+Datos!AA12)))*11)/factor_trimestre),((IF(J_V="SI",Datos!L12/Datos!K12,(Datos!L12+Datos!AB12)/(Datos!K12+Datos!AA12)))*11)/factor_trimestre," - ")</f>
        <v>16.392742796157954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1.6991120218579236E-2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155</v>
      </c>
      <c r="G14" s="1045">
        <f t="shared" si="1"/>
        <v>155</v>
      </c>
      <c r="H14" s="1046">
        <f t="shared" si="1"/>
        <v>0</v>
      </c>
      <c r="I14" s="1045">
        <f t="shared" si="1"/>
        <v>0</v>
      </c>
      <c r="J14" s="1014">
        <f t="shared" si="1"/>
        <v>0</v>
      </c>
      <c r="K14" s="1014">
        <f t="shared" si="1"/>
        <v>0</v>
      </c>
      <c r="L14" s="1046">
        <f t="shared" si="1"/>
        <v>0</v>
      </c>
      <c r="M14" s="1046">
        <f t="shared" si="1"/>
        <v>0</v>
      </c>
      <c r="N14" s="1046">
        <f t="shared" si="1"/>
        <v>161</v>
      </c>
      <c r="O14" s="1047">
        <f t="shared" si="1"/>
        <v>0</v>
      </c>
      <c r="P14" s="1047">
        <f t="shared" si="1"/>
        <v>0</v>
      </c>
      <c r="Q14" s="1046">
        <f t="shared" si="1"/>
        <v>449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245</v>
      </c>
      <c r="AD14" s="1046">
        <f t="shared" si="2"/>
        <v>0</v>
      </c>
      <c r="AE14" s="1046">
        <f t="shared" si="2"/>
        <v>0</v>
      </c>
      <c r="AF14" s="1046">
        <f t="shared" si="2"/>
        <v>175</v>
      </c>
      <c r="AG14" s="1046">
        <f t="shared" si="2"/>
        <v>0</v>
      </c>
      <c r="AH14" s="1046">
        <f t="shared" si="2"/>
        <v>517</v>
      </c>
      <c r="AI14" s="1046">
        <f t="shared" si="2"/>
        <v>0</v>
      </c>
      <c r="AJ14" s="1046">
        <f t="shared" si="2"/>
        <v>0</v>
      </c>
      <c r="AK14" s="1046">
        <f t="shared" si="2"/>
        <v>0</v>
      </c>
      <c r="AL14" s="1046">
        <f t="shared" si="2"/>
        <v>0</v>
      </c>
      <c r="AM14" s="1046">
        <f t="shared" si="2"/>
        <v>12073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359</v>
      </c>
      <c r="BD14" s="1046">
        <f t="shared" si="2"/>
        <v>590</v>
      </c>
      <c r="BE14" s="1046">
        <f t="shared" si="2"/>
        <v>0</v>
      </c>
      <c r="BF14" s="1046">
        <f t="shared" si="2"/>
        <v>0</v>
      </c>
      <c r="BG14" s="1046">
        <f>IF(ISNUMBER(Datos!K14/Datos!J14),Datos!K14/Datos!J14," - ")</f>
        <v>0.9640718562874252</v>
      </c>
      <c r="BH14" s="1050">
        <f>IF(ISNUMBER(((Datos!L14/Datos!K14)*11)/factor_trimestre),((Datos!L14/Datos!K14)*11)/factor_trimestre," - ")</f>
        <v>16.766798418972332</v>
      </c>
      <c r="BI14" s="1046">
        <f>IF(ISNUMBER('Resol  Asuntos'!D14/NºAsuntos!G14),'Resol  Asuntos'!D14/NºAsuntos!G14," - ")</f>
        <v>0.19034994697773064</v>
      </c>
      <c r="BJ14" s="1046" t="str">
        <f>IF(ISNUMBER(Datos!CI14/Datos!CJ14),Datos!CI14/Datos!CJ14," - ")</f>
        <v xml:space="preserve"> - </v>
      </c>
      <c r="BK14" s="1046">
        <f>SUBTOTAL(9,BK8:BK13)</f>
        <v>0</v>
      </c>
      <c r="BL14" s="1046">
        <f>IF(ISNUMBER((I14-AB14+L14)/(F14)),(I14-AB14+L14)/(F14)," - ")</f>
        <v>-7.7419354838709681E-2</v>
      </c>
      <c r="BM14" s="1051">
        <f>SUBTOTAL(9,BM9:BM13)</f>
        <v>4.883825397654102E-2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3994</v>
      </c>
      <c r="G17" s="651">
        <f>IF(ISNUMBER(IF(D_I="SI",Datos!I17,Datos!I17+Datos!AC17)),IF(D_I="SI",Datos!I17,Datos!I17+Datos!AC17)," - ")</f>
        <v>3962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1409</v>
      </c>
      <c r="AC17" s="231">
        <f>IF(ISNUMBER(Datos!Q17),Datos!Q17," - ")</f>
        <v>11</v>
      </c>
      <c r="AD17" s="344"/>
      <c r="AE17" s="516"/>
      <c r="AF17" s="649">
        <f>IF(ISNUMBER(IF(D_I="SI",Datos!L17,Datos!L17+Datos!AF17)),IF(D_I="SI",Datos!L17,Datos!L17+Datos!AF17)," - ")</f>
        <v>4027</v>
      </c>
      <c r="AG17" s="344"/>
      <c r="AH17" s="344"/>
      <c r="AI17" s="344"/>
      <c r="AJ17" s="504"/>
      <c r="AK17" s="344"/>
      <c r="AL17" s="500"/>
      <c r="AM17" s="345">
        <f>IF(ISNUMBER(Datos!R17),Datos!R17," - ")</f>
        <v>445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194</v>
      </c>
      <c r="BD17" s="234">
        <f>IF(ISNUMBER(Datos!N17),Datos!N17," - ")</f>
        <v>686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0.97711511789181693</v>
      </c>
      <c r="BH17" s="670">
        <f>IF(ISNUMBER(((IF(D_I="SI",Datos!L17/Datos!K17,(Datos!L17+Datos!AF17)/(Datos!K17+Datos!AE17)))*11)/factor_trimestre),((IF(D_I="SI",Datos!L17/Datos!K17,(Datos!L17+Datos!AF17)/(Datos!K17+Datos!AE17)))*11)/factor_trimestre," - ")</f>
        <v>8.5741660752306608</v>
      </c>
      <c r="BI17" s="248">
        <f>IF(ISNUMBER('Resol  Asuntos'!D17/NºAsuntos!G17),'Resol  Asuntos'!D17/NºAsuntos!G17," - ")</f>
        <v>0.13768630234208659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122</v>
      </c>
      <c r="AC18" s="502">
        <f>IF(ISNUMBER(Datos!Q18),Datos!Q18," - ")</f>
        <v>6</v>
      </c>
      <c r="AD18" s="504"/>
      <c r="AE18" s="516"/>
      <c r="AF18" s="506">
        <f>IF(ISNUMBER(Datos!L18),Datos!L18,"-")</f>
        <v>193</v>
      </c>
      <c r="AG18" s="504"/>
      <c r="AH18" s="504"/>
      <c r="AI18" s="504"/>
      <c r="AJ18" s="504"/>
      <c r="AK18" s="504"/>
      <c r="AL18" s="505"/>
      <c r="AM18" s="672">
        <f>IF(ISNUMBER(Datos!R18),Datos!R18," - ")</f>
        <v>24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41</v>
      </c>
      <c r="BD18" s="620">
        <f>IF(ISNUMBER(Datos!N18),Datos!N18," - ")</f>
        <v>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0.72619047619047616</v>
      </c>
      <c r="BH18" s="670">
        <f>IF(ISNUMBER(((IF(D_I="SI",Datos!L18/Datos!K18,(Datos!L18+Datos!AF18)/(Datos!K18+Datos!AE18)))*11)/factor_trimestre),((IF(D_I="SI",Datos!L18/Datos!K18,(Datos!L18+Datos!AF18)/(Datos!K18+Datos!AE18)))*11)/factor_trimestre," - ")</f>
        <v>4.7459016393442628</v>
      </c>
      <c r="BI18" s="669">
        <f>IF(ISNUMBER('Resol  Asuntos'!D18/NºAsuntos!G18),'Resol  Asuntos'!D18/NºAsuntos!G18," - ")</f>
        <v>0.33606557377049179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3994</v>
      </c>
      <c r="G20" s="1045">
        <f>SUBTOTAL(9,G16:G19)</f>
        <v>4109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1531</v>
      </c>
      <c r="AC20" s="1046">
        <f t="shared" si="5"/>
        <v>17</v>
      </c>
      <c r="AD20" s="1046">
        <f t="shared" si="5"/>
        <v>0</v>
      </c>
      <c r="AE20" s="1046">
        <f t="shared" si="5"/>
        <v>0</v>
      </c>
      <c r="AF20" s="1046">
        <f t="shared" si="5"/>
        <v>4220</v>
      </c>
      <c r="AG20" s="1046">
        <f t="shared" si="5"/>
        <v>0</v>
      </c>
      <c r="AH20" s="1046">
        <f t="shared" si="5"/>
        <v>0</v>
      </c>
      <c r="AI20" s="1046">
        <f t="shared" si="5"/>
        <v>0</v>
      </c>
      <c r="AJ20" s="1046">
        <f t="shared" si="5"/>
        <v>0</v>
      </c>
      <c r="AK20" s="1046">
        <f t="shared" si="5"/>
        <v>0</v>
      </c>
      <c r="AL20" s="1046">
        <f t="shared" si="5"/>
        <v>0</v>
      </c>
      <c r="AM20" s="1046">
        <f t="shared" si="5"/>
        <v>469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235</v>
      </c>
      <c r="BD20" s="1046">
        <f t="shared" si="5"/>
        <v>740</v>
      </c>
      <c r="BE20" s="1046">
        <f t="shared" si="5"/>
        <v>0</v>
      </c>
      <c r="BF20" s="1046">
        <f t="shared" si="5"/>
        <v>0</v>
      </c>
      <c r="BG20" s="1046">
        <f>IF(ISNUMBER(Datos!K20/Datos!J20),Datos!K20/Datos!J20," - ")</f>
        <v>0.95093167701863357</v>
      </c>
      <c r="BH20" s="1050">
        <f>IF(ISNUMBER(((Datos!L20/Datos!K20)*11)/factor_trimestre),((Datos!L20/Datos!K20)*11)/factor_trimestre," - ")</f>
        <v>8.2691051600261272</v>
      </c>
      <c r="BI20" s="1046">
        <f>SUBTOTAL(9,BI16:BI19)</f>
        <v>0.47375187611257841</v>
      </c>
      <c r="BJ20" s="1046">
        <f>SUBTOTAL(9,BJ16:BJ19)</f>
        <v>0</v>
      </c>
      <c r="BK20" s="1046">
        <f>SUBTOTAL(9,BK16:BK19)</f>
        <v>0</v>
      </c>
      <c r="BL20" s="1046">
        <f>IF(ISNUMBER((I20-AB20+L20)/(F20)),(I20-AB20+L20)/(F20)," - ")</f>
        <v>-0.38332498748122185</v>
      </c>
      <c r="BM20" s="1052">
        <f>IF(ISNUMBER((Datos!P20-Datos!Q20)/(Datos!R20-Datos!P20+Datos!Q20)),(Datos!P20-Datos!Q20)/(Datos!R20-Datos!P20+Datos!Q20)," - ")</f>
        <v>5.3932584269662923E-2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4149</v>
      </c>
      <c r="G21" s="967">
        <f t="shared" si="7"/>
        <v>4264</v>
      </c>
      <c r="H21" s="969">
        <f t="shared" si="7"/>
        <v>0</v>
      </c>
      <c r="I21" s="967">
        <f t="shared" si="7"/>
        <v>0</v>
      </c>
      <c r="J21" s="969">
        <f t="shared" si="7"/>
        <v>0</v>
      </c>
      <c r="K21" s="969">
        <f t="shared" si="7"/>
        <v>0</v>
      </c>
      <c r="L21" s="1028">
        <f t="shared" si="7"/>
        <v>0</v>
      </c>
      <c r="M21" s="1028">
        <f t="shared" si="7"/>
        <v>0</v>
      </c>
      <c r="N21" s="1028">
        <f t="shared" si="7"/>
        <v>161</v>
      </c>
      <c r="O21" s="1028">
        <f t="shared" si="7"/>
        <v>0</v>
      </c>
      <c r="P21" s="1028">
        <f t="shared" si="7"/>
        <v>0</v>
      </c>
      <c r="Q21" s="969">
        <f t="shared" si="7"/>
        <v>490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1543</v>
      </c>
      <c r="AC21" s="968">
        <f t="shared" si="8"/>
        <v>262</v>
      </c>
      <c r="AD21" s="968">
        <f t="shared" si="8"/>
        <v>0</v>
      </c>
      <c r="AE21" s="968">
        <f t="shared" si="8"/>
        <v>0</v>
      </c>
      <c r="AF21" s="975">
        <f t="shared" si="8"/>
        <v>4395</v>
      </c>
      <c r="AG21" s="975">
        <f t="shared" si="8"/>
        <v>0</v>
      </c>
      <c r="AH21" s="975">
        <f t="shared" si="8"/>
        <v>517</v>
      </c>
      <c r="AI21" s="975">
        <f t="shared" si="8"/>
        <v>0</v>
      </c>
      <c r="AJ21" s="968">
        <f t="shared" si="8"/>
        <v>0</v>
      </c>
      <c r="AK21" s="975">
        <f t="shared" si="8"/>
        <v>0</v>
      </c>
      <c r="AL21" s="975">
        <f t="shared" si="8"/>
        <v>0</v>
      </c>
      <c r="AM21" s="975">
        <f t="shared" si="8"/>
        <v>12542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594</v>
      </c>
      <c r="BD21" s="967">
        <f t="shared" si="8"/>
        <v>1330</v>
      </c>
      <c r="BE21" s="967">
        <f t="shared" si="8"/>
        <v>0</v>
      </c>
      <c r="BF21" s="977">
        <f t="shared" si="8"/>
        <v>0</v>
      </c>
      <c r="BG21" s="1062">
        <f>IF(ISNUMBER(Datos!K21/Datos!J21),Datos!K21/Datos!J21," - ")</f>
        <v>0.95793443574122428</v>
      </c>
      <c r="BH21" s="1062">
        <f>IF(ISNUMBER(((Datos!L21/Datos!K21)*11)/factor_trimestre),((Datos!L21/Datos!K21)*11)/factor_trimestre," - ")</f>
        <v>12.826771653543309</v>
      </c>
      <c r="BI21" s="960">
        <f>IF(ISNUMBER(Datos!J21/Datos!I21),Datos!J21/Datos!I21," - ")</f>
        <v>0.24649599542334097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-0.37189684261267775</v>
      </c>
      <c r="BM21" s="1036">
        <f>IF(ISNUMBER((Datos!P21-Datos!Q21+R21)/(Datos!R21-Datos!P21+Datos!Q21-R21)),(Datos!P21-Datos!Q21+R21)/(Datos!R21-Datos!P21+Datos!Q21-R21)," - ")</f>
        <v>1.8515510800714632E-2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1705.6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2216.4476834189732</v>
      </c>
      <c r="G23" s="601">
        <f>IF(ISNUMBER(STDEV(G8:G20)),STDEV(G8:G20),"-")</f>
        <v>2127.5353816094339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780.98252221160487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150.22915828826308</v>
      </c>
      <c r="BD23" s="600"/>
      <c r="BE23" s="600">
        <f>IF(ISNUMBER(STDEV(BE8:BE20)),STDEV(BE8:BE20),"-")</f>
        <v>0</v>
      </c>
      <c r="BF23" s="605">
        <f>IF(ISNUMBER(STDEV(BF8:BF20)),STDEV(BF8:BF20),"-")</f>
        <v>0</v>
      </c>
      <c r="BG23" s="915">
        <f>IF(ISNUMBER(STDEV(BG8:BG20)),STDEV(BG8:BG20),"-")</f>
        <v>0.23959818924120183</v>
      </c>
      <c r="BH23" s="919">
        <f>IF(ISNUMBER(STDEV(BH8:BH20)),STDEV(BH8:BH20),"-")</f>
        <v>14.222015369034072</v>
      </c>
      <c r="BI23" s="254">
        <f>IF(ISNUMBER(STDEV(BI8:BI20)),STDEV(BI8:BI20),"-")</f>
        <v>0.15154072055998163</v>
      </c>
      <c r="BJ23" s="235" t="str">
        <f>IF(ISNUMBER(BL23/BM23),BL23/BM23," - ")</f>
        <v xml:space="preserve"> - </v>
      </c>
      <c r="BK23" s="627"/>
      <c r="BL23" s="608">
        <f>IF(ISNUMBER(STDEV(BL8:BL20)),STDEV(BL8:BL20),"-")</f>
        <v>0.21630794724468125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g5VEmOJ+qxjEJjq0LhigTl5+qD9q22bk7p3yofhRf6OnMCDJ3um8QGJY4oBkHoE3JWNn8TAMSyAZb2o7IWP1g==" saltValue="ShTCFPUQdaxgogvgUXPC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MOLINA DE SEGURA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155</v>
      </c>
      <c r="G10" s="507">
        <f>IF(ISNUMBER(Datos!I10),Datos!I10," - ")</f>
        <v>155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175</v>
      </c>
      <c r="AB10" s="504"/>
      <c r="AC10" s="504"/>
      <c r="AD10" s="517"/>
      <c r="AE10" s="517">
        <f>IF(ISNUMBER(Datos!R10),Datos!R10," - ")</f>
        <v>162</v>
      </c>
      <c r="AF10" s="620" t="str">
        <f>IF(ISNUMBER(Datos!BV10),Datos!BV10," - ")</f>
        <v xml:space="preserve"> - </v>
      </c>
      <c r="AG10" s="507" t="str">
        <f>IF(ISNUMBER(Datos!DV10),Datos!DV10," - ")</f>
        <v xml:space="preserve"> - </v>
      </c>
      <c r="AH10" s="508"/>
      <c r="AI10" s="509"/>
      <c r="AJ10" s="507">
        <f>IF(ISNUMBER(Datos!M10),Datos!M10," - ")</f>
        <v>6</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43.750000000000007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3.1847133757961783E-2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245</v>
      </c>
      <c r="AA12" s="506" t="str">
        <f>IF(ISNUMBER(IF(J_V="SI",Datos!L12,Datos!L12+Datos!AB12)-IF(Monitorios="SI",Datos!CD12,0)),
                          IF(J_V="SI",Datos!L12,Datos!L12+Datos!AB12)-IF(Monitorios="SI",Datos!CD12,0),
                          " - ")</f>
        <v xml:space="preserve"> - </v>
      </c>
      <c r="AB12" s="504"/>
      <c r="AC12" s="504"/>
      <c r="AD12" s="517"/>
      <c r="AE12" s="517">
        <f>IF(ISNUMBER(Datos!R12),Datos!R12," - ")</f>
        <v>11911</v>
      </c>
      <c r="AF12" s="620" t="str">
        <f>IF(ISNUMBER(Datos!BV12),Datos!BV12," - ")</f>
        <v xml:space="preserve"> - </v>
      </c>
      <c r="AG12" s="507" t="str">
        <f>IF(ISNUMBER(Datos!DV12),Datos!DV12," - ")</f>
        <v xml:space="preserve"> - </v>
      </c>
      <c r="AH12" s="508"/>
      <c r="AI12" s="509"/>
      <c r="AJ12" s="507">
        <f>IF(ISNUMBER(Datos!M12),Datos!M12," - ")</f>
        <v>353</v>
      </c>
      <c r="AK12" s="620">
        <f>IF(ISNUMBER(Datos!N12),Datos!N12," - ")</f>
        <v>586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16.392742796157954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1.6991120218579236E-2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155</v>
      </c>
      <c r="G14" s="1045">
        <f>SUBTOTAL(9,G8:G13)</f>
        <v>155</v>
      </c>
      <c r="H14" s="1055"/>
      <c r="I14" s="1045">
        <f t="shared" ref="I14:N14" si="1">SUBTOTAL(9,I8:I13)</f>
        <v>0</v>
      </c>
      <c r="J14" s="1014">
        <f t="shared" si="1"/>
        <v>0</v>
      </c>
      <c r="K14" s="1055">
        <f t="shared" si="1"/>
        <v>0</v>
      </c>
      <c r="L14" s="1055">
        <f t="shared" si="1"/>
        <v>0</v>
      </c>
      <c r="M14" s="1055">
        <f t="shared" si="1"/>
        <v>0</v>
      </c>
      <c r="N14" s="1055">
        <f t="shared" si="1"/>
        <v>449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245</v>
      </c>
      <c r="AA14" s="1047">
        <f t="shared" si="3"/>
        <v>175</v>
      </c>
      <c r="AB14" s="1047">
        <f t="shared" si="3"/>
        <v>0</v>
      </c>
      <c r="AC14" s="1047">
        <f t="shared" si="3"/>
        <v>0</v>
      </c>
      <c r="AD14" s="1047">
        <f t="shared" si="3"/>
        <v>0</v>
      </c>
      <c r="AE14" s="1047">
        <f t="shared" si="3"/>
        <v>12073</v>
      </c>
      <c r="AF14" s="1055">
        <f t="shared" si="3"/>
        <v>0</v>
      </c>
      <c r="AG14" s="1055">
        <f t="shared" si="3"/>
        <v>0</v>
      </c>
      <c r="AH14" s="1055">
        <f t="shared" si="3"/>
        <v>0</v>
      </c>
      <c r="AI14" s="1055">
        <f t="shared" si="3"/>
        <v>0</v>
      </c>
      <c r="AJ14" s="1055">
        <f t="shared" si="3"/>
        <v>359</v>
      </c>
      <c r="AK14" s="1055">
        <f t="shared" si="3"/>
        <v>590</v>
      </c>
      <c r="AL14" s="1055">
        <f t="shared" si="3"/>
        <v>0</v>
      </c>
      <c r="AM14" s="1055">
        <f t="shared" si="3"/>
        <v>0</v>
      </c>
      <c r="AN14" s="1055">
        <f t="shared" si="3"/>
        <v>0</v>
      </c>
      <c r="AO14" s="1051">
        <f>IF(ISNUMBER(((NºAsuntos!I14/NºAsuntos!G14)*11)/factor_trimestre),((NºAsuntos!I14/NºAsuntos!G14)*11)/factor_trimestre," - ")</f>
        <v>16.566808059384943</v>
      </c>
      <c r="AP14" s="1057" t="str">
        <f>IF(ISNUMBER(Datos!CI14/Datos!CJ14),Datos!CI14/Datos!CJ14," - ")</f>
        <v xml:space="preserve"> - </v>
      </c>
      <c r="AQ14" s="1075">
        <f t="shared" ref="AQ14:AV14" si="4">SUBTOTAL(9,AQ9:AQ13)</f>
        <v>0</v>
      </c>
      <c r="AR14" s="1075">
        <f t="shared" si="4"/>
        <v>4.883825397654102E-2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3994</v>
      </c>
      <c r="G17" s="507">
        <f>IF(ISNUMBER(IF(D_I="SI",Datos!I17,Datos!I17+Datos!AC17)),IF(D_I="SI",Datos!I17,Datos!I17+Datos!AC17)," - ")</f>
        <v>3962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1409</v>
      </c>
      <c r="Z17" s="704">
        <f>IF(ISNUMBER(Datos!Q17),Datos!Q17," - ")</f>
        <v>11</v>
      </c>
      <c r="AA17" s="506">
        <f>IF(ISNUMBER(IF(D_I="SI",Datos!L17,Datos!L17+Datos!AF17)),IF(D_I="SI",Datos!L17,Datos!L17+Datos!AF17)," - ")</f>
        <v>4027</v>
      </c>
      <c r="AB17" s="504"/>
      <c r="AC17" s="504"/>
      <c r="AD17" s="517"/>
      <c r="AE17" s="517">
        <f>IF(ISNUMBER(Datos!R17),Datos!R17," - ")</f>
        <v>445</v>
      </c>
      <c r="AF17" s="620" t="str">
        <f>IF(ISNUMBER(Datos!BV17),Datos!BV17," - ")</f>
        <v xml:space="preserve"> - </v>
      </c>
      <c r="AG17" s="507"/>
      <c r="AH17" s="508"/>
      <c r="AI17" s="509"/>
      <c r="AJ17" s="507">
        <f>IF(ISNUMBER(Datos!M17),Datos!M17," - ")</f>
        <v>194</v>
      </c>
      <c r="AK17" s="620">
        <f>IF(ISNUMBER(Datos!N17),Datos!N17," - ")</f>
        <v>686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8.5741660752306608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122</v>
      </c>
      <c r="Z18" s="704">
        <f>IF(ISNUMBER(Datos!Q18),Datos!Q18," - ")</f>
        <v>6</v>
      </c>
      <c r="AA18" s="506">
        <f>IF(ISNUMBER(Datos!L18),Datos!L18,"-")</f>
        <v>193</v>
      </c>
      <c r="AB18" s="504"/>
      <c r="AC18" s="504"/>
      <c r="AD18" s="517"/>
      <c r="AE18" s="517">
        <f>IF(ISNUMBER(Datos!R18),Datos!R18," - ")</f>
        <v>24</v>
      </c>
      <c r="AF18" s="620" t="str">
        <f>IF(ISNUMBER(Datos!BV18),Datos!BV18," - ")</f>
        <v xml:space="preserve"> - </v>
      </c>
      <c r="AG18" s="507" t="str">
        <f>IF(ISNUMBER(Datos!DV18),Datos!DV18," - ")</f>
        <v xml:space="preserve"> - </v>
      </c>
      <c r="AH18" s="508"/>
      <c r="AI18" s="509"/>
      <c r="AJ18" s="507">
        <f>IF(ISNUMBER(Datos!M18),Datos!M18," - ")</f>
        <v>41</v>
      </c>
      <c r="AK18" s="620">
        <f>IF(ISNUMBER(Datos!N18),Datos!N18," - ")</f>
        <v>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4.7459016393442628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3994</v>
      </c>
      <c r="G20" s="1045">
        <f>SUBTOTAL(9,G16:G19)</f>
        <v>4109</v>
      </c>
      <c r="H20" s="1079">
        <f>SUBTOTAL(9,H16:H19)</f>
        <v>0</v>
      </c>
      <c r="I20" s="1058">
        <f>SUBTOTAL(9,I16:I19)</f>
        <v>0</v>
      </c>
      <c r="J20" s="1014">
        <f>SUBTOTAL(9,J15:J19)</f>
        <v>0</v>
      </c>
      <c r="K20" s="1079">
        <f t="shared" ref="K20:S20" si="5">SUBTOTAL(9,K16:K19)</f>
        <v>0</v>
      </c>
      <c r="L20" s="1079">
        <f t="shared" si="5"/>
        <v>0</v>
      </c>
      <c r="M20" s="1079">
        <f t="shared" si="5"/>
        <v>0</v>
      </c>
      <c r="N20" s="1079">
        <f t="shared" si="5"/>
        <v>41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1531</v>
      </c>
      <c r="Z20" s="1079">
        <f t="shared" si="6"/>
        <v>17</v>
      </c>
      <c r="AA20" s="1079">
        <f t="shared" si="6"/>
        <v>4220</v>
      </c>
      <c r="AB20" s="1079">
        <f t="shared" si="6"/>
        <v>0</v>
      </c>
      <c r="AC20" s="1079">
        <f t="shared" si="6"/>
        <v>0</v>
      </c>
      <c r="AD20" s="1079">
        <f t="shared" si="6"/>
        <v>0</v>
      </c>
      <c r="AE20" s="1079">
        <f t="shared" si="6"/>
        <v>469</v>
      </c>
      <c r="AF20" s="1079">
        <f t="shared" si="6"/>
        <v>0</v>
      </c>
      <c r="AG20" s="1079">
        <f t="shared" si="6"/>
        <v>0</v>
      </c>
      <c r="AH20" s="1079">
        <f t="shared" si="6"/>
        <v>0</v>
      </c>
      <c r="AI20" s="1079">
        <f t="shared" si="6"/>
        <v>0</v>
      </c>
      <c r="AJ20" s="1079">
        <f t="shared" si="6"/>
        <v>235</v>
      </c>
      <c r="AK20" s="1079">
        <f t="shared" si="6"/>
        <v>740</v>
      </c>
      <c r="AL20" s="1079">
        <f t="shared" si="6"/>
        <v>0</v>
      </c>
      <c r="AM20" s="1079">
        <f t="shared" si="6"/>
        <v>0</v>
      </c>
      <c r="AN20" s="1079">
        <f t="shared" si="6"/>
        <v>0</v>
      </c>
      <c r="AO20" s="1081">
        <f>IF(ISNUMBER(((NºAsuntos!I20/NºAsuntos!G20)*11)/factor_trimestre),((NºAsuntos!I20/NºAsuntos!G20)*11)/factor_trimestre," - ")</f>
        <v>8.2691051600261272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4149</v>
      </c>
      <c r="G21" s="967">
        <f t="shared" si="8"/>
        <v>4264</v>
      </c>
      <c r="H21" s="968">
        <f t="shared" si="8"/>
        <v>0</v>
      </c>
      <c r="I21" s="967">
        <f t="shared" si="8"/>
        <v>0</v>
      </c>
      <c r="J21" s="969">
        <f t="shared" si="8"/>
        <v>0</v>
      </c>
      <c r="K21" s="967">
        <f t="shared" si="8"/>
        <v>0</v>
      </c>
      <c r="L21" s="970">
        <f t="shared" si="8"/>
        <v>0</v>
      </c>
      <c r="M21" s="967">
        <f t="shared" si="8"/>
        <v>0</v>
      </c>
      <c r="N21" s="968">
        <f t="shared" si="8"/>
        <v>490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1543</v>
      </c>
      <c r="Z21" s="974">
        <f t="shared" si="9"/>
        <v>262</v>
      </c>
      <c r="AA21" s="975">
        <f t="shared" si="9"/>
        <v>4395</v>
      </c>
      <c r="AB21" s="975">
        <f t="shared" si="9"/>
        <v>0</v>
      </c>
      <c r="AC21" s="975">
        <f t="shared" si="9"/>
        <v>0</v>
      </c>
      <c r="AD21" s="976">
        <f t="shared" si="9"/>
        <v>0</v>
      </c>
      <c r="AE21" s="976">
        <f t="shared" si="9"/>
        <v>12542</v>
      </c>
      <c r="AF21" s="977">
        <f t="shared" si="9"/>
        <v>0</v>
      </c>
      <c r="AG21" s="978">
        <f t="shared" si="9"/>
        <v>0</v>
      </c>
      <c r="AH21" s="979">
        <f t="shared" si="9"/>
        <v>0</v>
      </c>
      <c r="AI21" s="977">
        <f t="shared" si="9"/>
        <v>0</v>
      </c>
      <c r="AJ21" s="967">
        <f t="shared" si="9"/>
        <v>594</v>
      </c>
      <c r="AK21" s="967">
        <f t="shared" si="9"/>
        <v>1330</v>
      </c>
      <c r="AL21" s="967">
        <f t="shared" si="9"/>
        <v>0</v>
      </c>
      <c r="AM21" s="980">
        <f t="shared" si="9"/>
        <v>0</v>
      </c>
      <c r="AN21" s="970">
        <f>IF(ISNUMBER(Datos!K21/Datos!J21),Datos!K21/Datos!J21," - ")</f>
        <v>0.95793443574122428</v>
      </c>
      <c r="AO21" s="970">
        <f>IF(ISNUMBER(FIND("06",Criterios!A8,1)),(IF(ISNUMBER(((Datos!R21/Datos!Q21)*11)/factor_trimestre),((Datos!R21/Datos!Q21)*11)/factor_trimestre," - ")),(IF(ISNUMBER(((Datos!L21/Datos!K21)*11)/factor_trimestre),((Datos!L21/Datos!K21)*11)/factor_trimestre," - ")))</f>
        <v>12.826771653543309</v>
      </c>
      <c r="AP21" s="981" t="str">
        <f>IF(ISNUMBER(Datos!CI21/Datos!CJ21),Datos!CI21/Datos!CJ21," - ")</f>
        <v xml:space="preserve"> - </v>
      </c>
      <c r="AQ21" s="981">
        <f>IF(OR(ISNUMBER(FIND("01",Criterios!A8,1)),ISNUMBER(FIND("02",Criterios!A8,1)),ISNUMBER(FIND("03",Criterios!A8,1)),ISNUMBER(FIND("04",Criterios!A8,1))),(J21-Y21+K21)/(F21-K21),(I21-Y21+K21)/(F21-K21))</f>
        <v>-0.37189684261267775</v>
      </c>
      <c r="AR21" s="981">
        <f>IF(ISNUMBER((Datos!P21-Datos!Q21+O21)/(Datos!R21-Datos!P21+Datos!Q21-O21)),(Datos!P21-Datos!Q21+O21)/(Datos!R21-Datos!P21+Datos!Q21-O21)," - ")</f>
        <v>1.8515510800714632E-2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1705.6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2216.4476834189732</v>
      </c>
      <c r="G23" s="601">
        <f>IF(ISNUMBER(STDEV(G8:G20)),STDEV(G8:G20),"-")</f>
        <v>2127.5353816094339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150.22915828826308</v>
      </c>
      <c r="AK23" s="257"/>
      <c r="AL23" s="257">
        <f>IF(ISNUMBER(STDEV(AL8:AL20)),STDEV(AL8:AL20),"-")</f>
        <v>0</v>
      </c>
      <c r="AM23" s="259">
        <f>IF(ISNUMBER(STDEV(AM8:AM20)),STDEV(AM8:AM20),"-")</f>
        <v>0</v>
      </c>
      <c r="AN23" s="587">
        <f>IF(ISNUMBER(STDEV(AN8:AN20)),STDEV(AN8:AN20),"-")</f>
        <v>0</v>
      </c>
      <c r="AO23" s="588">
        <f>IF(ISNUMBER(STDEV(AO8:AO20)),STDEV(AO8:AO20),"-")</f>
        <v>14.221264389862347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3nNlMFdXjBqi8EO1zBXHMdH33jge3EZqF+qh4NC2cGJgzxi2QZwi20V1vJdow1wn6bZddIp+kCcMSv7sN2dGw==" saltValue="yiOWxtJBeA/Zuco5ehT7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ZoeoZrQ8ctEa4PTQI5uiecyi7RdHlsjqd49LRkc0g990QjTFM4hqGx1IiQfKAL1oKPHWG2ye5R8F089KgCbbQ==" saltValue="vvDJPZADmMwvGIcucSR7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TdKZwXFXA0bHkB5oPrja1/PlreE8edGxYGbGESYRJFq8YKCiFalLs09sICtOKLjZwtQsIZ6b4l8sQUQN/o0bQ==" saltValue="JJUXqwFxJHe1TPrgbOfQ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MOLINA DE SEGURA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0.19034994697773064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0.13459773830645311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1o29+7KoBZmEZ/oWaieGMtNldJnkd38V3aWh+2u93dByjpWJwxzqNH1sQMgZdI1ig9uMRfW/f7dJ1bxpMziYw==" saltValue="4hQ4kzYHgolXcrIldrbs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E/2sqboBlX5gbMU85vsCU2Z02Sg1yEicegP9o+ls2OTnvJYxpD749jUiMRHPyOIyWpn2R+vz8dgPgCL2+s8eg==" saltValue="SqYNk/+pzdKs8iiMI1To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MOLINA DE SEGURA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155</v>
      </c>
      <c r="D10" s="416">
        <f>IF(ISNUMBER(C10/Datos!BH10),C10/Datos!BH10," - ")</f>
        <v>155</v>
      </c>
      <c r="E10" s="415">
        <f>IF(ISNUMBER(Datos!J10),Datos!J10," - ")</f>
        <v>32</v>
      </c>
      <c r="F10" s="416">
        <f>IF(ISNUMBER(E10/B10),E10/B10," - ")</f>
        <v>32</v>
      </c>
      <c r="G10" s="415">
        <f>IF(ISNUMBER(Datos!K10),Datos!K10," - ")</f>
        <v>12</v>
      </c>
      <c r="H10" s="416">
        <f>IF(ISNUMBER(G10/B10),G10/B10," - ")</f>
        <v>12</v>
      </c>
      <c r="I10" s="415">
        <f>IF(ISNUMBER(Datos!L10),Datos!L10," - ")</f>
        <v>175</v>
      </c>
      <c r="J10" s="416">
        <f>IF(ISNUMBER(I10/B10),I10/B10," - ")</f>
        <v>175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10191</v>
      </c>
      <c r="D12" s="416">
        <f>IF(ISNUMBER(C12/Datos!BH12),C12/Datos!BH12," - ")</f>
        <v>1455.8571428571429</v>
      </c>
      <c r="E12" s="415">
        <f>IF(ISNUMBER(IF(J_V="SI",Datos!J12,Datos!J12+Datos!Z12)),IF(J_V="SI",Datos!J12,Datos!J12+Datos!Z12)," - ")</f>
        <v>1966</v>
      </c>
      <c r="F12" s="416">
        <f>IF(ISNUMBER(E12/B12),E12/B12," - ")</f>
        <v>280.85714285714283</v>
      </c>
      <c r="G12" s="415">
        <f>IF(ISNUMBER(IF(J_V="SI",Datos!K12,Datos!K12+Datos!AA12)),IF(J_V="SI",Datos!K12,Datos!K12+Datos!AA12)," - ")</f>
        <v>1874</v>
      </c>
      <c r="H12" s="416">
        <f>IF(ISNUMBER(G12/B12),G12/B12," - ")</f>
        <v>267.71428571428572</v>
      </c>
      <c r="I12" s="415">
        <f>IF(ISNUMBER(IF(J_V="SI",Datos!L12,Datos!L12+Datos!AB12)),IF(J_V="SI",Datos!L12,Datos!L12+Datos!AB12)," - ")</f>
        <v>10240</v>
      </c>
      <c r="J12" s="416">
        <f>IF(ISNUMBER(I12/B12),I12/B12," - ")</f>
        <v>1462.8571428571429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10346</v>
      </c>
      <c r="D14" s="997" t="str">
        <f>IF(ISNUMBER(C14/Datos!BI14),C14/Datos!BI14," - ")</f>
        <v xml:space="preserve"> - </v>
      </c>
      <c r="E14" s="996">
        <f>SUBTOTAL(9,E8:E13)</f>
        <v>1998</v>
      </c>
      <c r="F14" s="997">
        <f>IF(ISNUMBER(E14/B14),E14/B14," - ")</f>
        <v>285.42857142857144</v>
      </c>
      <c r="G14" s="996">
        <f>SUBTOTAL(9,G8:G13)</f>
        <v>1886</v>
      </c>
      <c r="H14" s="997">
        <f>IF(ISNUMBER(G14/B14),G14/B14," - ")</f>
        <v>269.42857142857144</v>
      </c>
      <c r="I14" s="996">
        <f>SUBTOTAL(9,I8:I13)</f>
        <v>10415</v>
      </c>
      <c r="J14" s="997">
        <f>IF(ISNUMBER(I14/B14),I14/B14," - ")</f>
        <v>1487.8571428571429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3962</v>
      </c>
      <c r="D17" s="416">
        <f>IF(ISNUMBER(C17/Datos!BH17),C17/Datos!BH17," - ")</f>
        <v>566</v>
      </c>
      <c r="E17" s="415">
        <f>IF(ISNUMBER(IF(D_I="SI",Datos!J17,Datos!J17+Datos!AD17)),IF(D_I="SI",Datos!J17,Datos!J17+Datos!AD17)," - ")</f>
        <v>1442</v>
      </c>
      <c r="F17" s="416">
        <f>IF(ISNUMBER(E17/B17),E17/B17," - ")</f>
        <v>206</v>
      </c>
      <c r="G17" s="415">
        <f>IF(ISNUMBER(IF(D_I="SI",Datos!K17,Datos!K17+Datos!AE17)),IF(D_I="SI",Datos!K17,Datos!K17+Datos!AE17)," - ")</f>
        <v>1409</v>
      </c>
      <c r="H17" s="416">
        <f>IF(ISNUMBER(G17/B17),G17/B17," - ")</f>
        <v>201.28571428571428</v>
      </c>
      <c r="I17" s="415">
        <f>IF(ISNUMBER(IF(D_I="SI",Datos!L17,Datos!L17+Datos!AF17)),IF(D_I="SI",Datos!L17,Datos!L17+Datos!AF17)," - ")</f>
        <v>4027</v>
      </c>
      <c r="J17" s="416">
        <f>IF(ISNUMBER(I17/B17),I17/B17," - ")</f>
        <v>575.28571428571433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147</v>
      </c>
      <c r="D18" s="416">
        <f>IF(ISNUMBER(C18/Datos!BH18),C18/Datos!BH18," - ")</f>
        <v>147</v>
      </c>
      <c r="E18" s="415">
        <f>IF(ISNUMBER(IF(D_I="SI",Datos!J18,Datos!J18+Datos!AD18)),IF(D_I="SI",Datos!J18,Datos!J18+Datos!AD18)," - ")</f>
        <v>168</v>
      </c>
      <c r="F18" s="416">
        <f>IF(ISNUMBER(E18/B18),E18/B18," - ")</f>
        <v>168</v>
      </c>
      <c r="G18" s="415">
        <f>IF(ISNUMBER(IF(D_I="SI",Datos!K18,Datos!K18+Datos!AE18)),IF(D_I="SI",Datos!K18,Datos!K18+Datos!AE18)," - ")</f>
        <v>122</v>
      </c>
      <c r="H18" s="416">
        <f>IF(ISNUMBER(G18/B18),G18/B18," - ")</f>
        <v>122</v>
      </c>
      <c r="I18" s="415">
        <f>IF(ISNUMBER(IF(D_I="SI",Datos!L18,Datos!L18+Datos!AF18)),IF(D_I="SI",Datos!L18,Datos!L18+Datos!AF18)," - ")</f>
        <v>193</v>
      </c>
      <c r="J18" s="416">
        <f>IF(ISNUMBER(I18/B18),I18/B18," - ")</f>
        <v>193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4109</v>
      </c>
      <c r="D20" s="997" t="str">
        <f>IF(ISNUMBER(C20/Datos!BI20),C20/Datos!BI20," - ")</f>
        <v xml:space="preserve"> - </v>
      </c>
      <c r="E20" s="996">
        <f>SUBTOTAL(9,E15:E19)</f>
        <v>1610</v>
      </c>
      <c r="F20" s="997">
        <f>IF(ISNUMBER(E20/B20),E20/B20," - ")</f>
        <v>230</v>
      </c>
      <c r="G20" s="996">
        <f>SUBTOTAL(9,G15:G19)</f>
        <v>1531</v>
      </c>
      <c r="H20" s="997">
        <f>IF(ISNUMBER(G20/B20),G20/B20," - ")</f>
        <v>218.71428571428572</v>
      </c>
      <c r="I20" s="996">
        <f>SUBTOTAL(9,I15:I19)</f>
        <v>4220</v>
      </c>
      <c r="J20" s="997">
        <f>IF(ISNUMBER(I20/B20),I20/B20," - ")</f>
        <v>602.85714285714289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14455</v>
      </c>
      <c r="D21" s="942" t="str">
        <f>IF(ISNUMBER(C21/Datos!BI21),C21/Datos!BI21," - ")</f>
        <v xml:space="preserve"> - </v>
      </c>
      <c r="E21" s="941">
        <f>SUBTOTAL(9,E9:E20)</f>
        <v>3608</v>
      </c>
      <c r="F21" s="942">
        <f>IF(ISNUMBER(E21/B21),E21/B21," - ")</f>
        <v>515.42857142857144</v>
      </c>
      <c r="G21" s="941">
        <f>SUBTOTAL(9,G9:G20)</f>
        <v>3417</v>
      </c>
      <c r="H21" s="942">
        <f>IF(ISNUMBER(G21/B21),G21/B21," - ")</f>
        <v>488.14285714285717</v>
      </c>
      <c r="I21" s="941">
        <f>SUBTOTAL(9,I9:I20)</f>
        <v>14635</v>
      </c>
      <c r="J21" s="942">
        <f>IF(ISNUMBER(I21/B21),I21/B21," - ")</f>
        <v>2090.7142857142858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4whKbuIyUoHNyhUdcgqMzw1QwvdVIDWnuCWO9Xt+sVQT0k83qp0B0ZvIeBuXdNXPK+HahTg3tmH04IZH5+SA==" saltValue="5vhKaTypbkTY+0+XgXwu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MOLINA DE SEGURA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155</v>
      </c>
      <c r="G10" s="803">
        <f>IF(ISNUMBER(Datos!I10),Datos!I10," - ")</f>
        <v>155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175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43.750000000000007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11911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353</v>
      </c>
      <c r="AM12" s="811">
        <f>IF(ISNUMBER(Datos!N12+DatosP!N17),Datos!N12+DatosP!N17," - ")</f>
        <v>586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16.392742796157954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1.6991120218579236E-2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155</v>
      </c>
      <c r="G14" s="1085">
        <f t="shared" si="0"/>
        <v>155</v>
      </c>
      <c r="H14" s="1085">
        <f t="shared" si="0"/>
        <v>0</v>
      </c>
      <c r="I14" s="1087">
        <f t="shared" si="0"/>
        <v>0</v>
      </c>
      <c r="J14" s="1086">
        <f t="shared" si="0"/>
        <v>0</v>
      </c>
      <c r="K14" s="1086">
        <f t="shared" si="0"/>
        <v>0</v>
      </c>
      <c r="L14" s="1088">
        <f t="shared" si="0"/>
        <v>0</v>
      </c>
      <c r="M14" s="1088">
        <f t="shared" si="0"/>
        <v>0</v>
      </c>
      <c r="N14" s="1086">
        <f t="shared" si="0"/>
        <v>449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245</v>
      </c>
      <c r="AE14" s="1086">
        <f t="shared" si="1"/>
        <v>0</v>
      </c>
      <c r="AF14" s="1086">
        <f t="shared" si="1"/>
        <v>175</v>
      </c>
      <c r="AG14" s="1086">
        <f t="shared" si="1"/>
        <v>0</v>
      </c>
      <c r="AH14" s="1086">
        <f t="shared" si="1"/>
        <v>11911</v>
      </c>
      <c r="AI14" s="1086">
        <f t="shared" si="1"/>
        <v>0</v>
      </c>
      <c r="AJ14" s="1086">
        <f t="shared" si="1"/>
        <v>0</v>
      </c>
      <c r="AK14" s="1086">
        <f t="shared" si="1"/>
        <v>0</v>
      </c>
      <c r="AL14" s="1086">
        <f t="shared" si="1"/>
        <v>359</v>
      </c>
      <c r="AM14" s="1086">
        <f t="shared" si="1"/>
        <v>590</v>
      </c>
      <c r="AN14" s="1086">
        <f t="shared" si="1"/>
        <v>0</v>
      </c>
      <c r="AO14" s="1086">
        <f t="shared" si="1"/>
        <v>0</v>
      </c>
      <c r="AP14" s="1091">
        <f>IF(ISNUMBER(((Datos!L14/Datos!K14)*11)/factor_trimestre),((Datos!L14/Datos!K14)*11)/factor_trimestre," - ")</f>
        <v>16.766798418972332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-7.7419354838709681E-2</v>
      </c>
      <c r="AU14" s="1086" t="str">
        <f>IF(ISNUMBER((DatosP!#REF!-DatosP!#REF!+DatosP!#REF!)/(DatosP!#REF!+DatosP!#REF!-DatosP!#REF!-DatosP!#REF!)),(DatosP!#REF!-DatosP!#REF!+DatosP!#REF!)/(DatosP!#REF!+DatosP!#REF!-DatosP!#REF!-DatosP!#REF!)," - ")</f>
        <v xml:space="preserve"> - </v>
      </c>
      <c r="AV14" s="1092">
        <f>SUBTOTAL(9,AV9:AV13)</f>
        <v>1.6991120218579236E-2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8.2691051600261272</v>
      </c>
      <c r="AQ20" s="1091">
        <f>IF(ISNUMBER(((Datos!M20/Datos!L20)*11)/factor_trimestre),((Datos!M20/Datos!L20)*11)/factor_trimestre," - ")</f>
        <v>0.16706161137440759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5.3932584269662923E-2</v>
      </c>
      <c r="AW20" s="1093">
        <f>IF(ISNUMBER((Datos!Q20-Datos!R20)/(Datos!S20-Datos!Q20+Datos!R20)),(Datos!Q20-Datos!R20)/(Datos!S20-Datos!Q20+Datos!R20)," - ")</f>
        <v>-0.1037411062657792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155</v>
      </c>
      <c r="G21" s="1098">
        <f t="shared" si="4"/>
        <v>155</v>
      </c>
      <c r="H21" s="1098">
        <f t="shared" si="4"/>
        <v>0</v>
      </c>
      <c r="I21" s="1099">
        <f t="shared" si="4"/>
        <v>0</v>
      </c>
      <c r="J21" s="1100">
        <f t="shared" si="4"/>
        <v>0</v>
      </c>
      <c r="K21" s="1100">
        <f t="shared" si="4"/>
        <v>0</v>
      </c>
      <c r="L21" s="1100">
        <f t="shared" si="4"/>
        <v>0</v>
      </c>
      <c r="M21" s="1100">
        <f t="shared" si="4"/>
        <v>0</v>
      </c>
      <c r="N21" s="1099">
        <f t="shared" si="4"/>
        <v>449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245</v>
      </c>
      <c r="AE21" s="1104">
        <f t="shared" si="5"/>
        <v>0</v>
      </c>
      <c r="AF21" s="1105">
        <f t="shared" si="5"/>
        <v>175</v>
      </c>
      <c r="AG21" s="1105">
        <f t="shared" si="5"/>
        <v>0</v>
      </c>
      <c r="AH21" s="1105">
        <f t="shared" si="5"/>
        <v>11911</v>
      </c>
      <c r="AI21" s="1105">
        <f t="shared" si="5"/>
        <v>0</v>
      </c>
      <c r="AJ21" s="1106">
        <f t="shared" si="5"/>
        <v>0</v>
      </c>
      <c r="AK21" s="1106">
        <f t="shared" si="5"/>
        <v>0</v>
      </c>
      <c r="AL21" s="1098">
        <f t="shared" si="5"/>
        <v>359</v>
      </c>
      <c r="AM21" s="1098">
        <f t="shared" si="5"/>
        <v>590</v>
      </c>
      <c r="AN21" s="1098">
        <f t="shared" si="5"/>
        <v>0</v>
      </c>
      <c r="AO21" s="1098">
        <f t="shared" si="5"/>
        <v>0</v>
      </c>
      <c r="AP21" s="1098">
        <f>IF(ISNUMBER(((Datos!L21/Datos!K21)*11)/factor_trimestre),((Datos!L21/Datos!K21)*11)/factor_trimestre," - ")</f>
        <v>12.826771653543309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-7.7419354838709681E-2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1.8515510800714632E-2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89.489291724392004</v>
      </c>
      <c r="G23" s="871">
        <f>IF(ISNUMBER(STDEV(G8:G20)),STDEV(G8:G20),"-")</f>
        <v>89.489291724392004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203.83408285498609</v>
      </c>
      <c r="AM23" s="870"/>
      <c r="AN23" s="870">
        <f>IF(ISNUMBER(STDEV(AN8:AN20)),STDEV(AN8:AN20),"-")</f>
        <v>0</v>
      </c>
      <c r="AO23" s="876">
        <f>IF(ISNUMBER(STDEV(AO8:AO20)),STDEV(AO8:AO20),"-")</f>
        <v>0</v>
      </c>
      <c r="AP23" s="923">
        <f>IF(ISNUMBER(STDEV(AP8:AP20)),STDEV(AP8:AP20),"-")</f>
        <v>15.475116544257176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rC6x8k1CrDOp9GjRBnoK3bqDthENrYK9C+vETdi6j/3YJZLw/nbTWp/vZ9wol8VxBk4p79LYl1KXAErclHUDA==" saltValue="9mSWHMcGCgb0kOvROftC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MOLINA DE SEGURA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oCXjd2aouezJ36soNWgH3HXhrKWdHxsukMltcX+AZGcILQujWusqesH/4kXg99+i53RXoXWcMi8KhS9m8Cj4w==" saltValue="GP/8aTNTPht00Jaw4nHe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MOLINA DE SEGURA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4</v>
      </c>
      <c r="G10" s="416">
        <f>IF(ISNUMBER(F10/B10),F10/B10," - ")</f>
        <v>4</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353</v>
      </c>
      <c r="E12" s="416">
        <f t="shared" si="0"/>
        <v>50.428571428571431</v>
      </c>
      <c r="F12" s="415">
        <f>IF(ISNUMBER(Datos!N12),Datos!N12," - ")</f>
        <v>586</v>
      </c>
      <c r="G12" s="416">
        <f t="shared" si="1"/>
        <v>83.714285714285708</v>
      </c>
      <c r="H12" s="415">
        <f>IF(ISNUMBER(Datos!O12),Datos!O12," - ")</f>
        <v>852</v>
      </c>
      <c r="I12" s="416">
        <f t="shared" si="2"/>
        <v>121.71428571428571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359</v>
      </c>
      <c r="E14" s="997">
        <f t="shared" si="0"/>
        <v>44.875</v>
      </c>
      <c r="F14" s="996">
        <f>SUBTOTAL(9,F9:F13)</f>
        <v>590</v>
      </c>
      <c r="G14" s="997">
        <f t="shared" si="1"/>
        <v>73.75</v>
      </c>
      <c r="H14" s="996">
        <f>SUBTOTAL(9,H9:H13)</f>
        <v>854</v>
      </c>
      <c r="I14" s="997">
        <f>IF(ISNUMBER(H14/B14),H14/B14," - ")</f>
        <v>106.75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194</v>
      </c>
      <c r="E17" s="416">
        <f t="shared" si="3"/>
        <v>27.714285714285715</v>
      </c>
      <c r="F17" s="415">
        <f>IF(ISNUMBER(Datos!N17),Datos!N17," - ")</f>
        <v>686</v>
      </c>
      <c r="G17" s="416">
        <f t="shared" si="4"/>
        <v>98</v>
      </c>
      <c r="H17" s="415">
        <f>IF(ISNUMBER(Datos!O17),Datos!O17," - ")</f>
        <v>7</v>
      </c>
      <c r="I17" s="416">
        <f t="shared" si="5"/>
        <v>1</v>
      </c>
    </row>
    <row r="18" spans="1:9">
      <c r="A18" s="414" t="str">
        <f>Datos!A18</f>
        <v>Jdos. Violencia contra la mujer</v>
      </c>
      <c r="B18" s="444">
        <f>Datos!AO18</f>
        <v>1</v>
      </c>
      <c r="C18" s="445">
        <f>Datos!AQ18</f>
        <v>0</v>
      </c>
      <c r="D18" s="415">
        <f>IF(ISNUMBER(Datos!M18),Datos!M18," - ")</f>
        <v>41</v>
      </c>
      <c r="E18" s="416">
        <f>IF(ISNUMBER(D18/B18),D18/B18," - ")</f>
        <v>41</v>
      </c>
      <c r="F18" s="415">
        <f>IF(ISNUMBER(Datos!N18),Datos!N18," - ")</f>
        <v>54</v>
      </c>
      <c r="G18" s="416">
        <f>IF(ISNUMBER(F18/B18),F18/B18," - ")</f>
        <v>54</v>
      </c>
      <c r="H18" s="415">
        <f>IF(ISNUMBER(Datos!O18),Datos!O18," - ")</f>
        <v>6</v>
      </c>
      <c r="I18" s="416">
        <f t="shared" si="5"/>
        <v>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235</v>
      </c>
      <c r="E20" s="997">
        <f t="shared" si="3"/>
        <v>29.375</v>
      </c>
      <c r="F20" s="996">
        <f>SUBTOTAL(9,F16:F19)</f>
        <v>740</v>
      </c>
      <c r="G20" s="997">
        <f t="shared" si="4"/>
        <v>92.5</v>
      </c>
      <c r="H20" s="996">
        <f>SUBTOTAL(9,H16:H19)</f>
        <v>13</v>
      </c>
      <c r="I20" s="997">
        <f>IF(ISNUMBER(H20/B20),H20/B20," - ")</f>
        <v>1.625</v>
      </c>
    </row>
    <row r="21" spans="1:9" ht="14.25" thickTop="1" thickBot="1">
      <c r="A21" s="940" t="str">
        <f>Datos!A21</f>
        <v>TOTAL JURISDICCIONES</v>
      </c>
      <c r="B21" s="941">
        <f>Datos!AP21</f>
        <v>7</v>
      </c>
      <c r="C21" s="941">
        <f>Datos!AR21</f>
        <v>7</v>
      </c>
      <c r="D21" s="941">
        <f>SUBTOTAL(9,D8:D20)</f>
        <v>594</v>
      </c>
      <c r="E21" s="942">
        <f>IF(ISNUMBER(D21/B21),D21/B21," - ")</f>
        <v>84.857142857142861</v>
      </c>
      <c r="F21" s="941">
        <f>SUBTOTAL(9,F8:F20)</f>
        <v>1330</v>
      </c>
      <c r="G21" s="942">
        <f>IF(ISNUMBER(F21/B21),F21/B21," - ")</f>
        <v>190</v>
      </c>
      <c r="H21" s="941">
        <f>SUBTOTAL(9,H8:H20)</f>
        <v>867</v>
      </c>
      <c r="I21" s="942">
        <f>IF(ISNUMBER(H21/B21),H21/B21," - ")</f>
        <v>123.85714285714286</v>
      </c>
    </row>
    <row r="24" spans="1:9">
      <c r="A24" s="403" t="str">
        <f>Criterios!A4</f>
        <v>Fecha Informe: 06 jun. 2023</v>
      </c>
    </row>
    <row r="29" spans="1:9">
      <c r="A29" s="426"/>
    </row>
  </sheetData>
  <sheetProtection algorithmName="SHA-512" hashValue="DZLCfPOL/gp3RIBsOeKLoRSn0Z1tWFXbLGT28CSrS8Fz8vHGz5KEXenbQZ2fP5mohBsoF3ifxLPKB9LeN03hvw==" saltValue="vdyHAeaa+opRLv65Pf1i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MOLINA DE SEGURA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0</v>
      </c>
      <c r="D10" s="420">
        <f>IF(ISNUMBER(Datos!R10),Datos!R10," - ")</f>
        <v>162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444</v>
      </c>
      <c r="C12" s="451">
        <f>IF(ISNUMBER(Datos!Q12),Datos!Q12," - ")</f>
        <v>245</v>
      </c>
      <c r="D12" s="420">
        <f>IF(ISNUMBER(Datos!R12),Datos!R12," - ")</f>
        <v>11911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449</v>
      </c>
      <c r="C14" s="1000">
        <f>SUBTOTAL(9,C9:C13)</f>
        <v>245</v>
      </c>
      <c r="D14" s="998">
        <f>SUBTOTAL(9,D9:D13)</f>
        <v>12073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11</v>
      </c>
      <c r="D17" s="420">
        <f>IF(ISNUMBER(Datos!R17),Datos!R17," - ")</f>
        <v>445</v>
      </c>
    </row>
    <row r="18" spans="1:4">
      <c r="A18" s="414" t="str">
        <f>Datos!A18</f>
        <v>Jdos. Violencia contra la mujer</v>
      </c>
      <c r="B18" s="450">
        <f>IF(ISNUMBER(Datos!P18),Datos!P18," - ")</f>
        <v>7</v>
      </c>
      <c r="C18" s="451">
        <f>IF(ISNUMBER(Datos!Q18),Datos!Q18," - ")</f>
        <v>6</v>
      </c>
      <c r="D18" s="420">
        <f>IF(ISNUMBER(Datos!R18),Datos!R18," - ")</f>
        <v>24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41</v>
      </c>
      <c r="C20" s="1000">
        <f>SUBTOTAL(9,C16:C19)</f>
        <v>17</v>
      </c>
      <c r="D20" s="998">
        <f>SUBTOTAL(9,D16:D19)</f>
        <v>469</v>
      </c>
    </row>
    <row r="21" spans="1:4" ht="16.5" customHeight="1" thickTop="1" thickBot="1">
      <c r="A21" s="940" t="str">
        <f>Datos!A21</f>
        <v>TOTAL JURISDICCIONES</v>
      </c>
      <c r="B21" s="945">
        <f>SUBTOTAL(9,B8:B20)</f>
        <v>490</v>
      </c>
      <c r="C21" s="946">
        <f>SUBTOTAL(9,C8:C20)</f>
        <v>262</v>
      </c>
      <c r="D21" s="947">
        <f>SUBTOTAL(9,D8:D20)</f>
        <v>12542</v>
      </c>
    </row>
    <row r="22" spans="1:4" ht="7.5" customHeight="1"/>
    <row r="23" spans="1:4" ht="6" customHeight="1"/>
    <row r="24" spans="1:4">
      <c r="A24" s="403" t="str">
        <f>Criterios!A4</f>
        <v>Fecha Informe: 06 jun. 2023</v>
      </c>
    </row>
    <row r="29" spans="1:4">
      <c r="A29" s="426"/>
    </row>
  </sheetData>
  <sheetProtection algorithmName="SHA-512" hashValue="hDaQnUP6RzqeIw3KcXiUuFC4bsTmIGKWhs7vcUlcWsgo0uLvsV0NwcUUoME6ve4dRG2AIrIzc/WAxEmilO9gmQ==" saltValue="rZoRFGAhbhgaCDCHfpZ/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MOLINA DE SEGURA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6.1643835616438353E-2</v>
      </c>
      <c r="C10" s="473">
        <f>IF(ISNUMBER((Datos!J10-Datos!T10)/Datos!T10),(Datos!J10-Datos!T10)/Datos!T10," - ")</f>
        <v>1</v>
      </c>
      <c r="D10" s="473">
        <f>IF(ISNUMBER((Datos!K10-Datos!U10)/Datos!U10),(Datos!K10-Datos!U10)/Datos!U10," - ")</f>
        <v>-0.6470588235294118</v>
      </c>
      <c r="E10" s="473">
        <f>IF(ISNUMBER((Datos!L10-Datos!V10)/Datos!V10),(Datos!L10-Datos!V10)/Datos!V10," - ")</f>
        <v>0.3671875</v>
      </c>
      <c r="F10" s="473">
        <f>IF(ISNUMBER((Datos!M10-Datos!W10)/Datos!W10),(Datos!M10-Datos!W10)/Datos!W10," - ")</f>
        <v>-0.73913043478260865</v>
      </c>
      <c r="G10" s="474">
        <f>IF(ISNUMBER((Datos!N10-Datos!X10)/Datos!X10),(Datos!N10-Datos!X10)/Datos!X10," - ")</f>
        <v>-0.63636363636363635</v>
      </c>
      <c r="H10" s="472">
        <f>IF(ISNUMBER(((NºAsuntos!G10/NºAsuntos!E10)-Datos!BD10)/Datos!BD10),((NºAsuntos!G10/NºAsuntos!E10)-Datos!BD10)/Datos!BD10," - ")</f>
        <v>-0.82352941176470584</v>
      </c>
      <c r="I10" s="473">
        <f>IF(ISNUMBER(((NºAsuntos!I10/NºAsuntos!G10)-Datos!BE10)/Datos!BE10),((NºAsuntos!I10/NºAsuntos!G10)-Datos!BE10)/Datos!BE10," - ")</f>
        <v>2.873697916666667</v>
      </c>
      <c r="J10" s="478">
        <f>IF(ISNUMBER((('Resol  Asuntos'!D10/NºAsuntos!G10)-Datos!BF10)/Datos!BF10),(('Resol  Asuntos'!D10/NºAsuntos!G10)-Datos!BF10)/Datos!BF10," - ")</f>
        <v>-0.26086956521739135</v>
      </c>
      <c r="K10" s="479">
        <f>IF(ISNUMBER((((NºAsuntos!C10+NºAsuntos!E10)/NºAsuntos!G10)-Datos!BG10)/Datos!BG10),(((NºAsuntos!C10+NºAsuntos!E10)/NºAsuntos!G10)-Datos!BG10)/Datos!BG10," - ")</f>
        <v>2.270576131687243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0.21872757713465679</v>
      </c>
      <c r="C12" s="473">
        <f>IF(ISNUMBER(
   IF(J_V="SI",(Datos!J12-Datos!T12)/Datos!T12,(Datos!J12+Datos!Z12-(Datos!T12+Datos!AH12))/(Datos!T12+Datos!AH12))
     ),IF(J_V="SI",(Datos!J12-Datos!T12)/Datos!T12,(Datos!J12+Datos!Z12-(Datos!T12+Datos!AH12))/(Datos!T12+Datos!AH12))," - ")</f>
        <v>6.7318132464712271E-2</v>
      </c>
      <c r="D12" s="473">
        <f>IF(ISNUMBER(
   IF(J_V="SI",(Datos!K12-Datos!U12)/Datos!U12,(Datos!K12+Datos!AA12-(Datos!U12+Datos!AI12))/(Datos!U12+Datos!AI12))
     ),IF(J_V="SI",(Datos!K12-Datos!U12)/Datos!U12,(Datos!K12+Datos!AA12-(Datos!U12+Datos!AI12))/(Datos!U12+Datos!AI12))," - ")</f>
        <v>0.12148414123279473</v>
      </c>
      <c r="E12" s="473">
        <f>IF(ISNUMBER(
   IF(J_V="SI",(Datos!L12-Datos!V12)/Datos!V12,(Datos!L12+Datos!AB12-(Datos!V12+Datos!AJ12))/(Datos!V12+Datos!AJ12))
     ),IF(J_V="SI",(Datos!L12-Datos!V12)/Datos!V12,(Datos!L12+Datos!AB12-(Datos!V12+Datos!AJ12))/(Datos!V12+Datos!AJ12))," - ")</f>
        <v>0.20216013148626438</v>
      </c>
      <c r="F12" s="473">
        <f>IF(ISNUMBER((Datos!M12-Datos!W12)/Datos!W12),(Datos!M12-Datos!W12)/Datos!W12," - ")</f>
        <v>2.9154518950437316E-2</v>
      </c>
      <c r="G12" s="474">
        <f>IF(ISNUMBER((Datos!N12-Datos!X12)/Datos!X12),(Datos!N12-Datos!X12)/Datos!X12," - ")</f>
        <v>0.31981981981981983</v>
      </c>
      <c r="H12" s="472">
        <f>IF(ISNUMBER(((NºAsuntos!G12/NºAsuntos!E12)-Datos!BD12)/Datos!BD12),((NºAsuntos!G12/NºAsuntos!E12)-Datos!BD12)/Datos!BD12," - ")</f>
        <v>5.0749637920044756E-2</v>
      </c>
      <c r="I12" s="473">
        <f>IF(ISNUMBER(((NºAsuntos!I12/NºAsuntos!G12)-Datos!BE12)/Datos!BE12),((NºAsuntos!I12/NºAsuntos!G12)-Datos!BE12)/Datos!BE12," - ")</f>
        <v>7.1936808811925171E-2</v>
      </c>
      <c r="J12" s="478">
        <f>IF(ISNUMBER((('Resol  Asuntos'!D12/NºAsuntos!G12)-Datos!BF12)/Datos!BF12),(('Resol  Asuntos'!D12/NºAsuntos!G12)-Datos!BF12)/Datos!BF12," - ")</f>
        <v>-0.29107776399665397</v>
      </c>
      <c r="K12" s="479">
        <f>IF(ISNUMBER((((NºAsuntos!C12+NºAsuntos!E12)/NºAsuntos!G12)-Datos!BG12)/Datos!BG12),(((NºAsuntos!C12+NºAsuntos!E12)/NºAsuntos!G12)-Datos!BG12)/Datos!BG12," - ")</f>
        <v>6.2338277788399434E-2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0.21603196991067231</v>
      </c>
      <c r="C14" s="1002">
        <f>IF(ISNUMBER(
   IF(J_V="SI",(Datos!J14-Datos!T14)/Datos!T14,(Datos!J14+Datos!Z14-(Datos!T14+Datos!AH14))/(Datos!T14+Datos!AH14))
     ),IF(J_V="SI",(Datos!J14-Datos!T14)/Datos!T14,(Datos!J14+Datos!Z14-(Datos!T14+Datos!AH14))/(Datos!T14+Datos!AH14))," - ")</f>
        <v>7.5349838536060282E-2</v>
      </c>
      <c r="D14" s="1002">
        <f>IF(ISNUMBER(
   IF(J_V="SI",(Datos!K14-Datos!U14)/Datos!U14,(Datos!K14+Datos!AA14-(Datos!U14+Datos!AI14))/(Datos!U14+Datos!AI14))
     ),IF(J_V="SI",(Datos!K14-Datos!U14)/Datos!U14,(Datos!K14+Datos!AA14-(Datos!U14+Datos!AI14))/(Datos!U14+Datos!AI14))," - ")</f>
        <v>0.10615835777126099</v>
      </c>
      <c r="E14" s="1002">
        <f>IF(ISNUMBER(
   IF(J_V="SI",(Datos!L14-Datos!V14)/Datos!V14,(Datos!L14+Datos!AB14-(Datos!V14+Datos!AJ14))/(Datos!V14+Datos!AJ14))
     ),IF(J_V="SI",(Datos!L14-Datos!V14)/Datos!V14,(Datos!L14+Datos!AB14-(Datos!V14+Datos!AJ14))/(Datos!V14+Datos!AJ14))," - ")</f>
        <v>0.20460328475595652</v>
      </c>
      <c r="F14" s="1003">
        <f>IF(ISNUMBER((Datos!M14-Datos!W14)/Datos!W14),(Datos!M14-Datos!W14)/Datos!W14," - ")</f>
        <v>-1.912568306010929E-2</v>
      </c>
      <c r="G14" s="1004">
        <f>IF(ISNUMBER((Datos!N14-Datos!X14)/Datos!X14),(Datos!N14-Datos!X14)/Datos!X14," - ")</f>
        <v>0.2967032967032967</v>
      </c>
      <c r="H14" s="1004">
        <f>IF(ISNUMBER(((NºAsuntos!G14/NºAsuntos!E14)-Datos!BD14)/Datos!BD14),((NºAsuntos!G14/NºAsuntos!E14)-Datos!BD14)/Datos!BD14," - ")</f>
        <v>2.8649764133635163E-2</v>
      </c>
      <c r="I14" s="1004">
        <f>IF(ISNUMBER(((NºAsuntos!I14/NºAsuntos!G14)-Datos!BE14)/Datos!BE14),((NºAsuntos!I14/NºAsuntos!G14)-Datos!BE14)/Datos!BE14," - ")</f>
        <v>8.8997137067288276E-2</v>
      </c>
      <c r="J14" s="1004">
        <f>IF(ISNUMBER((('Resol  Asuntos'!D14/NºAsuntos!G14)-Datos!BF14)/Datos!BF14),(('Resol  Asuntos'!D14/NºAsuntos!G14)-Datos!BF14)/Datos!BF14," - ")</f>
        <v>-0.3050392728114974</v>
      </c>
      <c r="K14" s="1004">
        <f>IF(ISNUMBER((((NºAsuntos!C14+NºAsuntos!E14)/NºAsuntos!G14)-Datos!BG14)/Datos!BG14),(((NºAsuntos!C14+NºAsuntos!E14)/NºAsuntos!G14)-Datos!BG14)/Datos!BG14," - ")</f>
        <v>7.6533139480997561E-2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5.372340425531915E-2</v>
      </c>
      <c r="C17" s="473">
        <f>IF(ISNUMBER(
   IF(D_I="SI",(Datos!J17-Datos!T17)/Datos!T17,(Datos!J17+Datos!AD17-(Datos!T17+Datos!AL17))/(Datos!T17+Datos!AL17))
     ),IF(D_I="SI",(Datos!J17-Datos!T17)/Datos!T17,(Datos!J17+Datos!AD17-(Datos!T17+Datos!AL17))/(Datos!T17+Datos!AL17))," - ")</f>
        <v>0.12744331508991399</v>
      </c>
      <c r="D17" s="473">
        <f>IF(ISNUMBER(
   IF(D_I="SI",(Datos!K17-Datos!U17)/Datos!U17,(Datos!K17+Datos!AE17-(Datos!U17+Datos!AM17))/(Datos!U17+Datos!AM17))
     ),IF(D_I="SI",(Datos!K17-Datos!U17)/Datos!U17,(Datos!K17+Datos!AE17-(Datos!U17+Datos!AM17))/(Datos!U17+Datos!AM17))," - ")</f>
        <v>-2.6933701657458564E-2</v>
      </c>
      <c r="E17" s="473">
        <f>IF(ISNUMBER(
   IF(D_I="SI",(Datos!L17-Datos!V17)/Datos!V17,(Datos!L17+Datos!AF17-(Datos!V17+Datos!AN17))/(Datos!V17+Datos!AN17))
     ),IF(D_I="SI",(Datos!L17-Datos!V17)/Datos!V17,(Datos!L17+Datos!AF17-(Datos!V17+Datos!AN17))/(Datos!V17+Datos!AN17))," - ")</f>
        <v>0.1081452944413869</v>
      </c>
      <c r="F17" s="473">
        <f>IF(ISNUMBER((Datos!M17-Datos!W17)/Datos!W17),(Datos!M17-Datos!W17)/Datos!W17," - ")</f>
        <v>-3.9603960396039604E-2</v>
      </c>
      <c r="G17" s="474">
        <f>IF(ISNUMBER((Datos!N17-Datos!X17)/Datos!X17),(Datos!N17-Datos!X17)/Datos!X17," - ")</f>
        <v>-0.15203955500618047</v>
      </c>
      <c r="H17" s="472">
        <f>IF(ISNUMBER(((NºAsuntos!G17/NºAsuntos!E17)-Datos!BD17)/Datos!BD17),((NºAsuntos!G17/NºAsuntos!E17)-Datos!BD17)/Datos!BD17," - ")</f>
        <v>-0.13692663274610917</v>
      </c>
      <c r="I17" s="473">
        <f>IF(ISNUMBER(((NºAsuntos!I17/NºAsuntos!G17)-Datos!BE17)/Datos!BE17),((NºAsuntos!I17/NºAsuntos!G17)-Datos!BE17)/Datos!BE17," - ")</f>
        <v>0.13881787533791928</v>
      </c>
      <c r="J17" s="478">
        <f>IF(ISNUMBER((('Resol  Asuntos'!D17/NºAsuntos!G17)-Datos!BF17)/Datos!BF17),(('Resol  Asuntos'!D17/NºAsuntos!G17)-Datos!BF17)/Datos!BF17," - ")</f>
        <v>-1.3020961429003079E-2</v>
      </c>
      <c r="K17" s="479">
        <f>IF(ISNUMBER((((NºAsuntos!C17+NºAsuntos!E17)/NºAsuntos!G17)-Datos!BG17)/Datos!BG17),(((NºAsuntos!C17+NºAsuntos!E17)/NºAsuntos!G17)-Datos!BG17)/Datos!BG17," - ")</f>
        <v>0.10211915547022789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1.3793103448275862E-2</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-0.41904761904761906</v>
      </c>
      <c r="E18" s="473">
        <f>IF(ISNUMBER(
   IF(D_I="SI",(Datos!L18-Datos!V18)/Datos!V18,(Datos!L18+Datos!AF18-(Datos!V18+Datos!AN18))/(Datos!V18+Datos!AN18))
     ),IF(D_I="SI",(Datos!L18-Datos!V18)/Datos!V18,(Datos!L18+Datos!AF18-(Datos!V18+Datos!AN18))/(Datos!V18+Datos!AN18))," - ")</f>
        <v>0.87378640776699024</v>
      </c>
      <c r="F18" s="473">
        <f>IF(ISNUMBER((Datos!M18-Datos!W18)/Datos!W18),(Datos!M18-Datos!W18)/Datos!W18," - ")</f>
        <v>0.36666666666666664</v>
      </c>
      <c r="G18" s="474">
        <f>IF(ISNUMBER((Datos!N18-Datos!X18)/Datos!X18),(Datos!N18-Datos!X18)/Datos!X18," - ")</f>
        <v>-0.69142857142857139</v>
      </c>
      <c r="H18" s="472">
        <f>IF(ISNUMBER(((NºAsuntos!G18/NºAsuntos!E18)-Datos!BD18)/Datos!BD18),((NºAsuntos!G18/NºAsuntos!E18)-Datos!BD18)/Datos!BD18," - ")</f>
        <v>-0.41904761904761906</v>
      </c>
      <c r="I18" s="473">
        <f>IF(ISNUMBER(((NºAsuntos!I18/NºAsuntos!G18)-Datos!BE18)/Datos!BE18),((NºAsuntos!I18/NºAsuntos!G18)-Datos!BE18)/Datos!BE18," - ")</f>
        <v>2.2253700461562951</v>
      </c>
      <c r="J18" s="478">
        <f>IF(ISNUMBER((('Resol  Asuntos'!D18/NºAsuntos!G18)-Datos!BF18)/Datos!BF18),(('Resol  Asuntos'!D18/NºAsuntos!G18)-Datos!BF18)/Datos!BF18," - ")</f>
        <v>1.3524590163934427</v>
      </c>
      <c r="K18" s="479">
        <f>IF(ISNUMBER((((NºAsuntos!C18+NºAsuntos!E18)/NºAsuntos!G18)-Datos!BG18)/Datos!BG18),(((NºAsuntos!C18+NºAsuntos!E18)/NºAsuntos!G18)-Datos!BG18)/Datos!BG18," - ")</f>
        <v>0.73231027077986688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5.2240717029449421E-2</v>
      </c>
      <c r="C20" s="1002">
        <f>IF(ISNUMBER(
   IF(Criterios!B14="SI",(Datos!J20-Datos!T20)/Datos!T20,(Datos!J20+Datos!AD20-(Datos!T20+Datos!AL20))/(Datos!T20+Datos!AL20))
     ),IF(Criterios!B14="SI",(Datos!J20-Datos!T20)/Datos!T20,(Datos!J20+Datos!AD20-(Datos!T20+Datos!AL20))/(Datos!T20+Datos!AL20))," - ")</f>
        <v>0.11264685556323428</v>
      </c>
      <c r="D20" s="1002">
        <f>IF(ISNUMBER(
   IF(Criterios!B14="SI",(Datos!K20-Datos!U20)/Datos!U20,(Datos!K20+Datos!AE20-(Datos!U20+Datos!AM20))/(Datos!U20+Datos!AM20))
     ),IF(Criterios!B14="SI",(Datos!K20-Datos!U20)/Datos!U20,(Datos!K20+Datos!AE20-(Datos!U20+Datos!AM20))/(Datos!U20+Datos!AM20))," - ")</f>
        <v>-7.6598311218335338E-2</v>
      </c>
      <c r="E20" s="1002">
        <f>IF(ISNUMBER(
   IF(Criterios!B14="SI",(Datos!L20-Datos!V20)/Datos!V20,(Datos!L20+Datos!AF20-(Datos!V20+Datos!AN20))/(Datos!V20+Datos!AN20))
     ),IF(Criterios!B14="SI",(Datos!L20-Datos!V20)/Datos!V20,(Datos!L20+Datos!AF20-(Datos!V20+Datos!AN20))/(Datos!V20+Datos!AN20))," - ")</f>
        <v>0.12924805994112926</v>
      </c>
      <c r="F20" s="1003">
        <f>IF(ISNUMBER((Datos!M20-Datos!W20)/Datos!W20),(Datos!M20-Datos!W20)/Datos!W20," - ")</f>
        <v>1.2931034482758621E-2</v>
      </c>
      <c r="G20" s="1004">
        <f>IF(ISNUMBER((Datos!N20-Datos!X20)/Datos!X20),(Datos!N20-Datos!X20)/Datos!X20," - ")</f>
        <v>-0.24796747967479674</v>
      </c>
      <c r="H20" s="1004">
        <f>IF(ISNUMBER(((NºAsuntos!G20/NºAsuntos!E20)-Datos!BD20)/Datos!BD20),((NºAsuntos!G20/NºAsuntos!E20)-Datos!BD20)/Datos!BD20," - ")</f>
        <v>-0.17008556293970881</v>
      </c>
      <c r="I20" s="1004">
        <f>IF(ISNUMBER(((NºAsuntos!I20/NºAsuntos!G20)-Datos!BE20)/Datos!BE20),((NºAsuntos!I20/NºAsuntos!G20)-Datos!BE20)/Datos!BE20," - ")</f>
        <v>0.22292180495257491</v>
      </c>
      <c r="J20" s="1004">
        <f>IF(ISNUMBER((('Resol  Asuntos'!D20/NºAsuntos!G20)-Datos!BF20)/Datos!BF20),(('Resol  Asuntos'!D20/NºAsuntos!G20)-Datos!BF20)/Datos!BF20," - ")</f>
        <v>9.6956012522804474E-2</v>
      </c>
      <c r="K20" s="1004">
        <f>IF(ISNUMBER((((NºAsuntos!C20+NºAsuntos!E20)/NºAsuntos!G20)-Datos!BG20)/Datos!BG20),(((NºAsuntos!C20+NºAsuntos!E20)/NºAsuntos!G20)-Datos!BG20)/Datos!BG20," - ")</f>
        <v>0.15721306257621526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0.1645049544832031</v>
      </c>
      <c r="C21" s="949">
        <f>IF(ISNUMBER(
   IF(J_V="SI",(Datos!J21-Datos!T21)/Datos!T21,(Datos!J21+Datos!Z21-(Datos!T21+Datos!AH21))/(Datos!T21+Datos!AH21))
     ),IF(J_V="SI",(Datos!J21-Datos!T21)/Datos!T21,(Datos!J21+Datos!Z21-(Datos!T21+Datos!AH21))/(Datos!T21+Datos!AH21))," - ")</f>
        <v>9.1679273827534033E-2</v>
      </c>
      <c r="D21" s="949">
        <f>IF(ISNUMBER(
   IF(J_V="SI",(Datos!K21-Datos!U21)/Datos!U21,(Datos!K21+Datos!AA21-(Datos!U21+Datos!AI21))/(Datos!U21+Datos!AI21))
     ),IF(J_V="SI",(Datos!K21-Datos!U21)/Datos!U21,(Datos!K21+Datos!AA21-(Datos!U21+Datos!AI21))/(Datos!U21+Datos!AI21))," - ")</f>
        <v>1.6057091882247992E-2</v>
      </c>
      <c r="E21" s="949">
        <f>IF(ISNUMBER(
   IF(J_V="SI",(Datos!L21-Datos!V21)/Datos!V21,(Datos!L21+Datos!AB21-(Datos!V21+Datos!AJ21))/(Datos!V21+Datos!AJ21))
     ),IF(J_V="SI",(Datos!L21-Datos!V21)/Datos!V21,(Datos!L21+Datos!AB21-(Datos!V21+Datos!AJ21))/(Datos!V21+Datos!AJ21))," - ")</f>
        <v>0.18186223047726721</v>
      </c>
      <c r="F21" s="950">
        <f>IF(ISNUMBER((Datos!M21-Datos!W21)/Datos!W21),(Datos!M21-Datos!W21)/Datos!W21," - ")</f>
        <v>-6.688963210702341E-3</v>
      </c>
      <c r="G21" s="951">
        <f>IF(ISNUMBER((Datos!N21-Datos!X21)/Datos!X21),(Datos!N21-Datos!X21)/Datos!X21," - ")</f>
        <v>-7.5747046560111192E-2</v>
      </c>
      <c r="H21" s="952">
        <f>IF(ISNUMBER((Tasas!B21-Datos!BD21)/Datos!BD21),(Tasas!B21-Datos!BD21)/Datos!BD21," - ")</f>
        <v>-6.9271427751987344E-2</v>
      </c>
      <c r="I21" s="953">
        <f>IF(ISNUMBER((Tasas!C21-Datos!BE21)/Datos!BE21),(Tasas!C21-Datos!BE21)/Datos!BE21," - ")</f>
        <v>0.16318486423618661</v>
      </c>
      <c r="J21" s="954">
        <f>IF(ISNUMBER((Tasas!D21-Datos!BF21)/Datos!BF21),(Tasas!D21-Datos!BF21)/Datos!BF21," - ")</f>
        <v>-0.16364403682169815</v>
      </c>
      <c r="K21" s="954">
        <f>IF(ISNUMBER((Tasas!E21-Datos!BG21)/Datos!BG21),(Tasas!E21-Datos!BG21)/Datos!BG21," - ")</f>
        <v>0.1310309414135285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jbUBSg3aqFV+dxdulu/Eze/J5rcPhnHUk3HmukVzoZN2bRTg43et+wM+JknVZLieP0+R5+G5/HDQ+hqsHn9Vw==" saltValue="aCDIBpqgVENbSBxREadHG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MOLINA DE SEGURA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0.375</v>
      </c>
      <c r="C10" s="460">
        <f>IF(ISNUMBER(NºAsuntos!I10/NºAsuntos!G10),NºAsuntos!I10/NºAsuntos!G10," - ")</f>
        <v>14.583333333333334</v>
      </c>
      <c r="D10" s="461">
        <f>IF(ISNUMBER('Resol  Asuntos'!D10/NºAsuntos!G10),'Resol  Asuntos'!D10/NºAsuntos!G10," - ")</f>
        <v>0.5</v>
      </c>
      <c r="E10" s="462">
        <f>IF(ISNUMBER((NºAsuntos!C10+NºAsuntos!E10)/NºAsuntos!G10),(NºAsuntos!C10+NºAsuntos!E10)/NºAsuntos!G10," - ")</f>
        <v>15.583333333333334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0.95320447609359105</v>
      </c>
      <c r="C12" s="460">
        <f>IF(ISNUMBER(NºAsuntos!I12/NºAsuntos!G12),NºAsuntos!I12/NºAsuntos!G12," - ")</f>
        <v>5.4642475987193171</v>
      </c>
      <c r="D12" s="461">
        <f>IF(ISNUMBER('Resol  Asuntos'!D12/NºAsuntos!G12),'Resol  Asuntos'!D12/NºAsuntos!G12," - ")</f>
        <v>0.18836712913553896</v>
      </c>
      <c r="E12" s="462">
        <f>IF(ISNUMBER((NºAsuntos!C12+NºAsuntos!E12)/NºAsuntos!G12),(NºAsuntos!C12+NºAsuntos!E12)/NºAsuntos!G12," - ")</f>
        <v>6.4871931696905012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0.94394394394394399</v>
      </c>
      <c r="C14" s="1006">
        <f>IF(ISNUMBER(NºAsuntos!I14/NºAsuntos!G14),NºAsuntos!I14/NºAsuntos!G14," - ")</f>
        <v>5.5222693531283138</v>
      </c>
      <c r="D14" s="1007">
        <f>IF(ISNUMBER('Resol  Asuntos'!D14/NºAsuntos!G14),'Resol  Asuntos'!D14/NºAsuntos!G14," - ")</f>
        <v>0.19034994697773064</v>
      </c>
      <c r="E14" s="1008">
        <f>IF(ISNUMBER((NºAsuntos!C14+NºAsuntos!E14)/NºAsuntos!G14),(NºAsuntos!C14+NºAsuntos!E14)/NºAsuntos!G14," - ")</f>
        <v>6.5450689289501591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0.97711511789181693</v>
      </c>
      <c r="C17" s="460">
        <f>IF(ISNUMBER(NºAsuntos!I17/NºAsuntos!G17),NºAsuntos!I17/NºAsuntos!G17," - ")</f>
        <v>2.85805535841022</v>
      </c>
      <c r="D17" s="461">
        <f>IF(ISNUMBER('Resol  Asuntos'!D17/NºAsuntos!G17),'Resol  Asuntos'!D17/NºAsuntos!G17," - ")</f>
        <v>0.13768630234208659</v>
      </c>
      <c r="E17" s="462">
        <f>IF(ISNUMBER((NºAsuntos!C17+NºAsuntos!E17)/NºAsuntos!G17),(NºAsuntos!C17+NºAsuntos!E17)/NºAsuntos!G17," - ")</f>
        <v>3.835344215755855</v>
      </c>
      <c r="G17" s="480"/>
    </row>
    <row r="18" spans="1:7">
      <c r="A18" s="414" t="str">
        <f>Datos!A18</f>
        <v>Jdos. Violencia contra la mujer</v>
      </c>
      <c r="B18" s="459">
        <f>IF(ISNUMBER(NºAsuntos!G18/NºAsuntos!E18),NºAsuntos!G18/NºAsuntos!E18," - ")</f>
        <v>0.72619047619047616</v>
      </c>
      <c r="C18" s="460">
        <f>IF(ISNUMBER(NºAsuntos!I18/NºAsuntos!G18),NºAsuntos!I18/NºAsuntos!G18," - ")</f>
        <v>1.5819672131147542</v>
      </c>
      <c r="D18" s="461">
        <f>IF(ISNUMBER('Resol  Asuntos'!D18/NºAsuntos!G18),'Resol  Asuntos'!D18/NºAsuntos!G18," - ")</f>
        <v>0.33606557377049179</v>
      </c>
      <c r="E18" s="462">
        <f>IF(ISNUMBER((NºAsuntos!C18+NºAsuntos!E18)/NºAsuntos!G18),(NºAsuntos!C18+NºAsuntos!E18)/NºAsuntos!G18," - ")</f>
        <v>2.581967213114754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0.95093167701863357</v>
      </c>
      <c r="C20" s="1006">
        <f>IF(ISNUMBER(NºAsuntos!I20/NºAsuntos!G20),NºAsuntos!I20/NºAsuntos!G20," - ")</f>
        <v>2.7563683866753754</v>
      </c>
      <c r="D20" s="1009">
        <f>IF(ISNUMBER('Resol  Asuntos'!D20/NºAsuntos!G20),'Resol  Asuntos'!D20/NºAsuntos!G20," - ")</f>
        <v>0.15349444807315479</v>
      </c>
      <c r="E20" s="1008">
        <f>IF(ISNUMBER((NºAsuntos!C20+NºAsuntos!E20)/NºAsuntos!G20),(NºAsuntos!C20+NºAsuntos!E20)/NºAsuntos!G20," - ")</f>
        <v>3.735467015022861</v>
      </c>
      <c r="G20" s="480"/>
    </row>
    <row r="21" spans="1:7" ht="15.75" customHeight="1" thickTop="1" thickBot="1">
      <c r="A21" s="940" t="str">
        <f>Datos!A21</f>
        <v>TOTAL JURISDICCIONES</v>
      </c>
      <c r="B21" s="955">
        <f>IF(ISNUMBER(NºAsuntos!G21/NºAsuntos!E21),NºAsuntos!G21/NºAsuntos!E21," - ")</f>
        <v>0.94706208425720617</v>
      </c>
      <c r="C21" s="956">
        <f>IF(ISNUMBER(NºAsuntos!I21/NºAsuntos!G21),NºAsuntos!I21/NºAsuntos!G21," - ")</f>
        <v>4.2829967808018727</v>
      </c>
      <c r="D21" s="957">
        <f>IF(ISNUMBER('Resol  Asuntos'!D21/NºAsuntos!G21),'Resol  Asuntos'!D21/NºAsuntos!G21," - ")</f>
        <v>0.17383669885864794</v>
      </c>
      <c r="E21" s="958">
        <f>IF(ISNUMBER((NºAsuntos!C21+NºAsuntos!E21)/NºAsuntos!G21),(NºAsuntos!C21+NºAsuntos!E21)/NºAsuntos!G21," - ")</f>
        <v>5.286215978928885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0YSUXsznsJFESeW5RMYY2oWTb8EhiT3hRG0CgWcFcMREZ+pjIrAVn7NsBw9f1ssF51uFzMDUXdnQELyafnAIQ==" saltValue="P7Em97vxdyKDCpckRndDZ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MOLINA DE SEGURA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155</v>
      </c>
      <c r="G10" s="343">
        <f>IF(ISNUMBER(Datos!I10),Datos!I10," - ")</f>
        <v>155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175</v>
      </c>
      <c r="AB10" s="344">
        <f>IF(ISNUMBER(Datos!R10),Datos!R10," - ")</f>
        <v>162</v>
      </c>
      <c r="AC10" s="344">
        <f t="shared" ref="AC10:AC13" si="1">IF(ISNUMBER(AA10+AB10),AA10+AB10," - ")</f>
        <v>337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0.375</v>
      </c>
      <c r="AM10" s="265">
        <f>IF(ISNUMBER(((NºAsuntos!I10/NºAsuntos!G10)*11)/factor_trimestre),((NºAsuntos!I10/NºAsuntos!G10)*11)/factor_trimestre," - ")</f>
        <v>43.750000000000007</v>
      </c>
      <c r="AN10" s="249">
        <f>IF(ISNUMBER('Resol  Asuntos'!D10/NºAsuntos!G10),'Resol  Asuntos'!D10/NºAsuntos!G10," - ")</f>
        <v>0.5</v>
      </c>
      <c r="AO10" s="250">
        <f>IF(ISNUMBER((NºAsuntos!C10+NºAsuntos!E10)/NºAsuntos!G10),(NºAsuntos!C10+NºAsuntos!E10)/NºAsuntos!G10," - ")</f>
        <v>15.583333333333334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245</v>
      </c>
      <c r="Y12" s="344">
        <f t="shared" si="0"/>
        <v>245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11911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353</v>
      </c>
      <c r="AJ12" s="234" t="str">
        <f>IF(ISNUMBER(Datos!BW12),Datos!BW12," - ")</f>
        <v xml:space="preserve"> - </v>
      </c>
      <c r="AK12" s="233" t="str">
        <f>IF(ISNUMBER(Datos!BX12),Datos!BX12," - ")</f>
        <v xml:space="preserve"> - </v>
      </c>
      <c r="AL12" s="248">
        <f>IF(ISNUMBER(NºAsuntos!G12/NºAsuntos!E12),NºAsuntos!G12/NºAsuntos!E12," - ")</f>
        <v>0.95320447609359105</v>
      </c>
      <c r="AM12" s="265">
        <f>IF(ISNUMBER(((NºAsuntos!I12/NºAsuntos!G12)*11)/factor_trimestre),((NºAsuntos!I12/NºAsuntos!G12)*11)/factor_trimestre," - ")</f>
        <v>16.392742796157954</v>
      </c>
      <c r="AN12" s="249">
        <f>IF(ISNUMBER('Resol  Asuntos'!D12/NºAsuntos!G12),'Resol  Asuntos'!D12/NºAsuntos!G12," - ")</f>
        <v>0.18836712913553896</v>
      </c>
      <c r="AO12" s="250">
        <f>IF(ISNUMBER((NºAsuntos!C12+NºAsuntos!E12)/NºAsuntos!G12),(NºAsuntos!C12+NºAsuntos!E12)/NºAsuntos!G12," - ")</f>
        <v>6.4871931696905012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155</v>
      </c>
      <c r="G14" s="1013">
        <f t="shared" si="5"/>
        <v>155</v>
      </c>
      <c r="H14" s="1012">
        <f t="shared" si="5"/>
        <v>0</v>
      </c>
      <c r="I14" s="1014">
        <f t="shared" si="5"/>
        <v>0</v>
      </c>
      <c r="J14" s="1014">
        <f t="shared" si="5"/>
        <v>0</v>
      </c>
      <c r="K14" s="1014">
        <f t="shared" si="5"/>
        <v>0</v>
      </c>
      <c r="L14" s="1014">
        <f t="shared" si="5"/>
        <v>449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245</v>
      </c>
      <c r="Y14" s="1015">
        <f t="shared" si="6"/>
        <v>257</v>
      </c>
      <c r="Z14" s="1015">
        <f t="shared" si="6"/>
        <v>0</v>
      </c>
      <c r="AA14" s="1015">
        <f t="shared" si="6"/>
        <v>175</v>
      </c>
      <c r="AB14" s="1015">
        <f t="shared" si="6"/>
        <v>12073</v>
      </c>
      <c r="AC14" s="1015">
        <f t="shared" si="6"/>
        <v>337</v>
      </c>
      <c r="AD14" s="1015">
        <f t="shared" si="6"/>
        <v>0</v>
      </c>
      <c r="AE14" s="1019">
        <f t="shared" si="6"/>
        <v>0</v>
      </c>
      <c r="AF14" s="1012">
        <f t="shared" si="6"/>
        <v>0</v>
      </c>
      <c r="AG14" s="1020">
        <f t="shared" si="6"/>
        <v>0</v>
      </c>
      <c r="AH14" s="1017">
        <f t="shared" si="6"/>
        <v>0</v>
      </c>
      <c r="AI14" s="1012">
        <f t="shared" si="6"/>
        <v>359</v>
      </c>
      <c r="AJ14" s="1014">
        <f t="shared" si="6"/>
        <v>0</v>
      </c>
      <c r="AK14" s="1017">
        <f>SUBTOTAL(9,AK9:AK13)</f>
        <v>0</v>
      </c>
      <c r="AL14" s="1021">
        <f>IF(ISNUMBER(NºAsuntos!G14/NºAsuntos!E14),NºAsuntos!G14/NºAsuntos!E14," - ")</f>
        <v>0.94394394394394399</v>
      </c>
      <c r="AM14" s="1021">
        <f>IF(ISNUMBER(((NºAsuntos!I14/NºAsuntos!G14)*11)/factor_trimestre),((NºAsuntos!I14/NºAsuntos!G14)*11)/factor_trimestre," - ")</f>
        <v>16.566808059384943</v>
      </c>
      <c r="AN14" s="1022">
        <f>IF(ISNUMBER('Resol  Asuntos'!D14/NºAsuntos!G14),'Resol  Asuntos'!D14/NºAsuntos!G14," - ")</f>
        <v>0.19034994697773064</v>
      </c>
      <c r="AO14" s="1023">
        <f>IF(ISNUMBER((NºAsuntos!C14+NºAsuntos!E14)/NºAsuntos!G14),(NºAsuntos!C14+NºAsuntos!E14)/NºAsuntos!G14," - ")</f>
        <v>6.5450689289501591</v>
      </c>
      <c r="AP14" s="1024" t="str">
        <f t="shared" si="2"/>
        <v xml:space="preserve"> - </v>
      </c>
      <c r="AQ14" s="1024">
        <f>IF(ISNUMBER((H14-W14+K14)/(F14)),(H14-W14+K14)/(F14)," - ")</f>
        <v>-7.7419354838709681E-2</v>
      </c>
      <c r="AR14" s="1025">
        <f>IF(ISNUMBER((Datos!P14-Datos!Q14)/(Datos!R14-Datos!P14+Datos!Q14)),(Datos!P14-Datos!Q14)/(Datos!R14-Datos!P14+Datos!Q14)," - ")</f>
        <v>1.718763164546297E-2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3994</v>
      </c>
      <c r="G17" s="343">
        <f>IF(ISNUMBER(IF(D_I="SI",Datos!I17,Datos!I17+Datos!AC17)),IF(D_I="SI",Datos!I17,Datos!I17+Datos!AC17)," - ")</f>
        <v>3962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1409</v>
      </c>
      <c r="X17" s="231">
        <f>IF(ISNUMBER(Datos!Q17),Datos!Q17," - ")</f>
        <v>11</v>
      </c>
      <c r="Y17" s="344">
        <f t="shared" ref="Y17:Y19" si="9">SUM(W17:X17)</f>
        <v>1420</v>
      </c>
      <c r="Z17" s="345" t="str">
        <f>IF(ISNUMBER(Datos!CC17),Datos!CC17," - ")</f>
        <v xml:space="preserve"> - </v>
      </c>
      <c r="AA17" s="342">
        <f>IF(ISNUMBER(IF(D_I="SI",Datos!L17,Datos!L17+Datos!AF17)),IF(D_I="SI",Datos!L17,Datos!L17+Datos!AF17)," - ")</f>
        <v>4027</v>
      </c>
      <c r="AB17" s="344">
        <f>IF(ISNUMBER(Datos!R17),Datos!R17," - ")</f>
        <v>445</v>
      </c>
      <c r="AC17" s="344">
        <f t="shared" si="8"/>
        <v>4472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194</v>
      </c>
      <c r="AJ17" s="236" t="str">
        <f>IF(ISNUMBER(Datos!BW17),Datos!BW17," - ")</f>
        <v xml:space="preserve"> - </v>
      </c>
      <c r="AK17" s="237" t="str">
        <f>IF(ISNUMBER(Datos!BX17),Datos!BX17," - ")</f>
        <v xml:space="preserve"> - </v>
      </c>
      <c r="AL17" s="248">
        <f>IF(ISNUMBER(NºAsuntos!G17/NºAsuntos!E17),NºAsuntos!G17/NºAsuntos!E17," - ")</f>
        <v>0.97711511789181693</v>
      </c>
      <c r="AM17" s="265">
        <f>IF(ISNUMBER(((NºAsuntos!I17/NºAsuntos!G17)*11)/factor_trimestre),((NºAsuntos!I17/NºAsuntos!G17)*11)/factor_trimestre," - ")</f>
        <v>8.5741660752306608</v>
      </c>
      <c r="AN17" s="249">
        <f>IF(ISNUMBER('Resol  Asuntos'!D17/NºAsuntos!G17),'Resol  Asuntos'!D17/NºAsuntos!G17," - ")</f>
        <v>0.13768630234208659</v>
      </c>
      <c r="AO17" s="250">
        <f>IF(ISNUMBER((NºAsuntos!C17+NºAsuntos!E17)/NºAsuntos!G17),(NºAsuntos!C17+NºAsuntos!E17)/NºAsuntos!G17," - ")</f>
        <v>3.835344215755855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122</v>
      </c>
      <c r="X18" s="231">
        <f>IF(ISNUMBER(Datos!Q18),Datos!Q18," - ")</f>
        <v>6</v>
      </c>
      <c r="Y18" s="344">
        <f t="shared" si="9"/>
        <v>128</v>
      </c>
      <c r="Z18" s="345" t="str">
        <f>IF(ISNUMBER(Datos!CC18),Datos!CC18," - ")</f>
        <v xml:space="preserve"> - </v>
      </c>
      <c r="AA18" s="342">
        <f>IF(ISNUMBER(Datos!L18),Datos!L18,"-")</f>
        <v>193</v>
      </c>
      <c r="AB18" s="344">
        <f>IF(ISNUMBER(Datos!R18),Datos!R18," - ")</f>
        <v>24</v>
      </c>
      <c r="AC18" s="344">
        <f t="shared" si="8"/>
        <v>217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41</v>
      </c>
      <c r="AJ18" s="236" t="str">
        <f>IF(ISNUMBER(Datos!BW18),Datos!BW18," - ")</f>
        <v xml:space="preserve"> - </v>
      </c>
      <c r="AK18" s="237" t="str">
        <f>IF(ISNUMBER(Datos!BX18),Datos!BX18," - ")</f>
        <v xml:space="preserve"> - </v>
      </c>
      <c r="AL18" s="248">
        <f>IF(ISNUMBER(NºAsuntos!G18/NºAsuntos!E18),NºAsuntos!G18/NºAsuntos!E18," - ")</f>
        <v>0.72619047619047616</v>
      </c>
      <c r="AM18" s="265">
        <f>IF(ISNUMBER(((NºAsuntos!I18/NºAsuntos!G18)*11)/factor_trimestre),((NºAsuntos!I18/NºAsuntos!G18)*11)/factor_trimestre," - ")</f>
        <v>4.7459016393442628</v>
      </c>
      <c r="AN18" s="249">
        <f>IF(ISNUMBER('Resol  Asuntos'!D18/NºAsuntos!G18),'Resol  Asuntos'!D18/NºAsuntos!G18," - ")</f>
        <v>0.33606557377049179</v>
      </c>
      <c r="AO18" s="250">
        <f>IF(ISNUMBER((NºAsuntos!C18+NºAsuntos!E18)/NºAsuntos!G18),(NºAsuntos!C18+NºAsuntos!E18)/NºAsuntos!G18," - ")</f>
        <v>2.581967213114754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3994</v>
      </c>
      <c r="G20" s="1013">
        <f>SUBTOTAL(9,G16:G19)</f>
        <v>4109</v>
      </c>
      <c r="H20" s="1012">
        <f t="shared" ref="H20:O20" si="12">SUBTOTAL(9,H15:H19)</f>
        <v>0</v>
      </c>
      <c r="I20" s="1014">
        <f t="shared" si="12"/>
        <v>0</v>
      </c>
      <c r="J20" s="1014">
        <f t="shared" si="12"/>
        <v>0</v>
      </c>
      <c r="K20" s="1014">
        <f t="shared" si="12"/>
        <v>0</v>
      </c>
      <c r="L20" s="1014">
        <f t="shared" si="12"/>
        <v>41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1531</v>
      </c>
      <c r="X20" s="1014">
        <f t="shared" si="13"/>
        <v>17</v>
      </c>
      <c r="Y20" s="1015">
        <f t="shared" si="13"/>
        <v>1548</v>
      </c>
      <c r="Z20" s="1015">
        <f t="shared" si="13"/>
        <v>0</v>
      </c>
      <c r="AA20" s="1015">
        <f t="shared" si="13"/>
        <v>4220</v>
      </c>
      <c r="AB20" s="1015">
        <f t="shared" si="13"/>
        <v>469</v>
      </c>
      <c r="AC20" s="1015">
        <f t="shared" si="13"/>
        <v>4689</v>
      </c>
      <c r="AD20" s="1015">
        <f t="shared" si="13"/>
        <v>0</v>
      </c>
      <c r="AE20" s="1019">
        <f t="shared" si="13"/>
        <v>0</v>
      </c>
      <c r="AF20" s="1012">
        <f t="shared" si="13"/>
        <v>0</v>
      </c>
      <c r="AG20" s="1020">
        <f t="shared" si="13"/>
        <v>0</v>
      </c>
      <c r="AH20" s="1017">
        <f t="shared" si="13"/>
        <v>0</v>
      </c>
      <c r="AI20" s="1012">
        <f t="shared" si="13"/>
        <v>235</v>
      </c>
      <c r="AJ20" s="1014">
        <f t="shared" si="13"/>
        <v>0</v>
      </c>
      <c r="AK20" s="1017">
        <f t="shared" si="13"/>
        <v>0</v>
      </c>
      <c r="AL20" s="1021">
        <f>IF(ISNUMBER(NºAsuntos!G20/NºAsuntos!E20),NºAsuntos!G20/NºAsuntos!E20," - ")</f>
        <v>0.95093167701863357</v>
      </c>
      <c r="AM20" s="1021">
        <f>IF(ISNUMBER(((NºAsuntos!I20/NºAsuntos!G20)*11)/factor_trimestre),((NºAsuntos!I20/NºAsuntos!G20)*11)/factor_trimestre," - ")</f>
        <v>8.2691051600261272</v>
      </c>
      <c r="AN20" s="1022">
        <f>IF(ISNUMBER('Resol  Asuntos'!D20/NºAsuntos!G20),'Resol  Asuntos'!D20/NºAsuntos!G20," - ")</f>
        <v>0.15349444807315479</v>
      </c>
      <c r="AO20" s="1023">
        <f>IF(ISNUMBER((NºAsuntos!C20+NºAsuntos!E20)/NºAsuntos!G20),(NºAsuntos!C20+NºAsuntos!E20)/NºAsuntos!G20," - ")</f>
        <v>3.735467015022861</v>
      </c>
      <c r="AP20" s="1024" t="str">
        <f t="shared" si="2"/>
        <v xml:space="preserve"> - </v>
      </c>
      <c r="AQ20" s="1024">
        <f>IF(ISNUMBER((H20-W20+K20)/(F20)),(H20-W20+K20)/(F20)," - ")</f>
        <v>-0.38332498748122185</v>
      </c>
      <c r="AR20" s="1025">
        <f>IF(ISNUMBER((Datos!P20-Datos!Q20)/(Datos!R20-Datos!P20+Datos!Q20)),(Datos!P20-Datos!Q20)/(Datos!R20-Datos!P20+Datos!Q20)," - ")</f>
        <v>5.3932584269662923E-2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4149</v>
      </c>
      <c r="G21" s="968">
        <f t="shared" si="15"/>
        <v>4264</v>
      </c>
      <c r="H21" s="967">
        <f t="shared" si="15"/>
        <v>0</v>
      </c>
      <c r="I21" s="969">
        <f t="shared" si="15"/>
        <v>0</v>
      </c>
      <c r="J21" s="969">
        <f t="shared" si="15"/>
        <v>0</v>
      </c>
      <c r="K21" s="1028">
        <f t="shared" si="15"/>
        <v>0</v>
      </c>
      <c r="L21" s="969">
        <f t="shared" si="15"/>
        <v>490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1543</v>
      </c>
      <c r="X21" s="968">
        <f t="shared" si="16"/>
        <v>262</v>
      </c>
      <c r="Y21" s="975">
        <f t="shared" si="16"/>
        <v>1805</v>
      </c>
      <c r="Z21" s="975">
        <f t="shared" si="16"/>
        <v>0</v>
      </c>
      <c r="AA21" s="975">
        <f t="shared" si="16"/>
        <v>4395</v>
      </c>
      <c r="AB21" s="975">
        <f t="shared" si="16"/>
        <v>12542</v>
      </c>
      <c r="AC21" s="975">
        <f t="shared" si="16"/>
        <v>5026</v>
      </c>
      <c r="AD21" s="975">
        <f t="shared" si="16"/>
        <v>0</v>
      </c>
      <c r="AE21" s="977">
        <f t="shared" si="16"/>
        <v>0</v>
      </c>
      <c r="AF21" s="978">
        <f t="shared" si="16"/>
        <v>0</v>
      </c>
      <c r="AG21" s="979">
        <f t="shared" si="16"/>
        <v>0</v>
      </c>
      <c r="AH21" s="977">
        <f t="shared" si="16"/>
        <v>0</v>
      </c>
      <c r="AI21" s="967">
        <f t="shared" si="16"/>
        <v>594</v>
      </c>
      <c r="AJ21" s="967">
        <f t="shared" si="16"/>
        <v>0</v>
      </c>
      <c r="AK21" s="977">
        <f t="shared" si="16"/>
        <v>0</v>
      </c>
      <c r="AL21" s="1031">
        <f>IF(ISNUMBER(NºAsuntos!G21/NºAsuntos!E21),NºAsuntos!G21/NºAsuntos!E21," - ")</f>
        <v>0.94706208425720617</v>
      </c>
      <c r="AM21" s="1032">
        <f>IF(ISNUMBER(((NºAsuntos!I21/NºAsuntos!G21)*11)/factor_trimestre),((NºAsuntos!I21/NºAsuntos!G21)*11)/factor_trimestre," - ")</f>
        <v>12.848990342405619</v>
      </c>
      <c r="AN21" s="1032">
        <f>IF(ISNUMBER('Resol  Asuntos'!D21/NºAsuntos!G21),'Resol  Asuntos'!D21/NºAsuntos!G21," - ")</f>
        <v>0.17383669885864794</v>
      </c>
      <c r="AO21" s="1033">
        <f>IF(ISNUMBER((NºAsuntos!C21+NºAsuntos!E21)/NºAsuntos!G21),(NºAsuntos!C21+NºAsuntos!E21)/NºAsuntos!G21," - ")</f>
        <v>5.286215978928885</v>
      </c>
      <c r="AP21" s="1034" t="str">
        <f t="shared" si="2"/>
        <v xml:space="preserve"> - </v>
      </c>
      <c r="AQ21" s="1035">
        <f>IF(OR(ISNUMBER(FIND("01",Criterios!A8,1)),ISNUMBER(FIND("02",Criterios!A8,1)),ISNUMBER(FIND("03",Criterios!A8,1)),ISNUMBER(FIND("04",Criterios!A8,1))),(I21-W21+K21)/(F21-K21),(H21-W21+K21)/(F21-K21))</f>
        <v>-0.37189684261267775</v>
      </c>
      <c r="AR21" s="1036">
        <f>IF(ISNUMBER((Datos!P21-Datos!Q21)/(Datos!R21-Datos!P21+Datos!Q21)),(Datos!P21-Datos!Q21)/(Datos!R21-Datos!P21+Datos!Q21)," - ")</f>
        <v>1.8515510800714632E-2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1705.6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2216.4476834189732</v>
      </c>
      <c r="G23" s="258">
        <f>IF(ISNUMBER(STDEV(G8:G20)),STDEV(G8:G20),"-")</f>
        <v>2127.5353816094339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780.98252221160487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150.22915828826308</v>
      </c>
      <c r="AJ23" s="257">
        <f t="shared" si="20"/>
        <v>0</v>
      </c>
      <c r="AK23" s="259">
        <f t="shared" si="20"/>
        <v>0</v>
      </c>
      <c r="AL23" s="254">
        <f t="shared" si="20"/>
        <v>0.23738248822984784</v>
      </c>
      <c r="AM23" s="255">
        <f t="shared" si="20"/>
        <v>14.221264389862347</v>
      </c>
      <c r="AN23" s="255">
        <f t="shared" si="20"/>
        <v>0.14084444170462856</v>
      </c>
      <c r="AO23" s="256">
        <f t="shared" si="20"/>
        <v>4.7454022355001095</v>
      </c>
      <c r="AP23" s="296" t="str">
        <f t="shared" si="20"/>
        <v>-</v>
      </c>
      <c r="AQ23" s="297">
        <f t="shared" si="20"/>
        <v>0.21630794724468125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qiV4ixlG3bkb8j22y61hFmprFdB9E3MS/Zcy8II4adJf93+ODEARJ0nE/fQSUXldwVMRPWl9KwXS/Mx5r99YQ==" saltValue="TSEgeMWkGsRv/W02Ww1Q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MOLINA DE SEGURA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6.1643835616438353E-2</v>
      </c>
      <c r="E10" s="358">
        <f>IF(ISNUMBER((Datos!J10-Datos!T10)/Datos!T10),(Datos!J10-Datos!T10)/Datos!T10," - ")</f>
        <v>1</v>
      </c>
      <c r="F10" s="358">
        <f>IF(ISNUMBER((Datos!K10-Datos!U10)/Datos!U10),(Datos!K10-Datos!U10)/Datos!U10," - ")</f>
        <v>-0.6470588235294118</v>
      </c>
      <c r="G10" s="359">
        <f>IF(ISNUMBER((Datos!L10-Datos!V10)/Datos!V10),(Datos!L10-Datos!V10)/Datos!V10," - ")</f>
        <v>0.3671875</v>
      </c>
      <c r="H10" s="235">
        <f>IF(ISNUMBER((Datos!M10-Datos!W10)/Datos!W10),(Datos!M10-Datos!W10)/Datos!W10," - ")</f>
        <v>-0.73913043478260865</v>
      </c>
      <c r="I10" s="360">
        <f>IF(ISNUMBER((Tasas!C10-Datos!BE10)/Datos!BE10),(Tasas!C10-Datos!BE10)/Datos!BE10," - ")</f>
        <v>2.873697916666667</v>
      </c>
      <c r="J10" s="359">
        <f>IF(ISNUMBER((Tasas!D10-Datos!BF10)/Datos!BF10),(Tasas!D10-Datos!BF10)/Datos!BF10," - ")</f>
        <v>-0.26086956521739135</v>
      </c>
      <c r="K10" s="361">
        <f>IF(ISNUMBER((Tasas!E10-Datos!BG10)/Datos!BG10),(Tasas!E10-Datos!BG10)/Datos!BG10," - ")</f>
        <v>2.270576131687243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2.9154518950437316E-2</v>
      </c>
      <c r="I12" s="360">
        <f>IF(ISNUMBER((Tasas!C12-Datos!BE12)/Datos!BE12),(Tasas!C12-Datos!BE12)/Datos!BE12," - ")</f>
        <v>7.1936808811925171E-2</v>
      </c>
      <c r="J12" s="359">
        <f>IF(ISNUMBER((Tasas!D12-Datos!BF12)/Datos!BF12),(Tasas!D12-Datos!BF12)/Datos!BF12," - ")</f>
        <v>-0.29107776399665397</v>
      </c>
      <c r="K12" s="361">
        <f>IF(ISNUMBER((Tasas!E12-Datos!BG12)/Datos!BG12),(Tasas!E12-Datos!BG12)/Datos!BG12," - ")</f>
        <v>6.2338277788399434E-2</v>
      </c>
      <c r="M12" t="e">
        <f>IF(Monitorios="SI",Datos!CE12,0)</f>
        <v>#REF!</v>
      </c>
      <c r="N12" t="e">
        <f>IF(Monitorios="SI",Datos!CF12,0)</f>
        <v>#REF!</v>
      </c>
      <c r="O12" t="e">
        <f>IF(Monitorios="SI",Datos!CG12,0)</f>
        <v>#REF!</v>
      </c>
      <c r="P12" t="e">
        <f>IF(Monitorios="SI",Datos!CH12,0)</f>
        <v>#REF!</v>
      </c>
      <c r="Q12">
        <f>IF(J_V="SI",0,Datos!AG12)</f>
        <v>440</v>
      </c>
      <c r="R12">
        <f>IF(J_V="SI",0,Datos!AH12)</f>
        <v>155</v>
      </c>
      <c r="S12">
        <f>IF(J_V="SI",0,Datos!AI12)</f>
        <v>104</v>
      </c>
      <c r="T12">
        <f>IF(J_V="SI",0,Datos!AJ12)</f>
        <v>476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-1.912568306010929E-2</v>
      </c>
      <c r="I14" s="367">
        <f>IF(ISNUMBER((Tasas!C14-Datos!BE14)/Datos!BE14),(Tasas!C14-Datos!BE14)/Datos!BE14," - ")</f>
        <v>8.8997137067288276E-2</v>
      </c>
      <c r="J14" s="365">
        <f>IF(ISNUMBER((Tasas!D14-Datos!BF14)/Datos!BF14),(Tasas!D14-Datos!BF14)/Datos!BF14," - ")</f>
        <v>-0.3050392728114974</v>
      </c>
      <c r="K14" s="368">
        <f>IF(ISNUMBER((Tasas!E14-Datos!BG14)/Datos!BG14),(Tasas!E14-Datos!BG14)/Datos!BG14," - ")</f>
        <v>7.6533139480997561E-2</v>
      </c>
      <c r="M14" t="e">
        <f>IF(Monitorios="SI",Datos!CE14,0)</f>
        <v>#REF!</v>
      </c>
      <c r="N14" t="e">
        <f>IF(Monitorios="SI",Datos!CF14,0)</f>
        <v>#REF!</v>
      </c>
      <c r="O14" t="e">
        <f>IF(Monitorios="SI",Datos!CG14,0)</f>
        <v>#REF!</v>
      </c>
      <c r="P14" t="e">
        <f>IF(Monitorios="SI",Datos!CH14,0)</f>
        <v>#REF!</v>
      </c>
      <c r="Q14">
        <f>IF(J_V="SI",0,Datos!AG14)</f>
        <v>440</v>
      </c>
      <c r="R14">
        <f>IF(J_V="SI",0,Datos!AH14)</f>
        <v>155</v>
      </c>
      <c r="S14">
        <f>IF(J_V="SI",0,Datos!AI14)</f>
        <v>104</v>
      </c>
      <c r="T14">
        <f>IF(J_V="SI",0,Datos!AJ14)</f>
        <v>476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5.372340425531915E-2</v>
      </c>
      <c r="E17" s="358">
        <f>IF(ISNUMBER(
   IF(D_I="SI",(Datos!J17-Datos!T17)/Datos!T17,(Datos!J17+Datos!AD17-(Datos!T17+Datos!AL17))/(Datos!T17+Datos!AL17))
     ),IF(D_I="SI",(Datos!J17-Datos!T17)/Datos!T17,(Datos!J17+Datos!AD17-(Datos!T17+Datos!AL17))/(Datos!T17+Datos!AL17))," - ")</f>
        <v>0.12744331508991399</v>
      </c>
      <c r="F17" s="358">
        <f>IF(ISNUMBER(
   IF(D_I="SI",(Datos!K17-Datos!U17)/Datos!U17,(Datos!K17+Datos!AE17-(Datos!U17+Datos!AM17))/(Datos!U17+Datos!AM17))
     ),IF(D_I="SI",(Datos!K17-Datos!U17)/Datos!U17,(Datos!K17+Datos!AE17-(Datos!U17+Datos!AM17))/(Datos!U17+Datos!AM17))," - ")</f>
        <v>-2.6933701657458564E-2</v>
      </c>
      <c r="G17" s="359">
        <f>IF(ISNUMBER(
   IF(D_I="SI",(Datos!L17-Datos!V17)/Datos!V17,(Datos!L17+Datos!AF17-(Datos!V17+Datos!AN17))/(Datos!V17+Datos!AN17))
     ),IF(D_I="SI",(Datos!L17-Datos!V17)/Datos!V17,(Datos!L17+Datos!AF17-(Datos!V17+Datos!AN17))/(Datos!V17+Datos!AN17))," - ")</f>
        <v>0.1081452944413869</v>
      </c>
      <c r="H17" s="235">
        <f>IF(ISNUMBER((Datos!M17-Datos!W17)/Datos!W17),(Datos!M17-Datos!W17)/Datos!W17," - ")</f>
        <v>-3.9603960396039604E-2</v>
      </c>
      <c r="I17" s="360">
        <f>IF(ISNUMBER((Tasas!C17-Datos!BE17)/Datos!BE17),(Tasas!C17-Datos!BE17)/Datos!BE17," - ")</f>
        <v>0.13881787533791928</v>
      </c>
      <c r="J17" s="359">
        <f>IF(ISNUMBER((Tasas!D17-Datos!BF17)/Datos!BF17),(Tasas!D17-Datos!BF17)/Datos!BF17," - ")</f>
        <v>-1.3020961429003079E-2</v>
      </c>
      <c r="K17" s="361">
        <f>IF(ISNUMBER((Tasas!E17-Datos!BG17)/Datos!BG17),(Tasas!E17-Datos!BG17)/Datos!BG17," - ")</f>
        <v>0.10211915547022789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1.3793103448275862E-2</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-0.41904761904761906</v>
      </c>
      <c r="G18" s="359">
        <f>IF(ISNUMBER(
   IF(D_I="SI",(Datos!L18-Datos!V18)/Datos!V18,(Datos!L18+Datos!AF18-(Datos!V18+Datos!AN18))/(Datos!V18+Datos!AN18))
     ),IF(D_I="SI",(Datos!L18-Datos!V18)/Datos!V18,(Datos!L18+Datos!AF18-(Datos!V18+Datos!AN18))/(Datos!V18+Datos!AN18))," - ")</f>
        <v>0.87378640776699024</v>
      </c>
      <c r="H18" s="235">
        <f>IF(ISNUMBER((Datos!M18-Datos!W18)/Datos!W18),(Datos!M18-Datos!W18)/Datos!W18," - ")</f>
        <v>0.36666666666666664</v>
      </c>
      <c r="I18" s="360">
        <f>IF(ISNUMBER((Tasas!C18-Datos!BE18)/Datos!BE18),(Tasas!C18-Datos!BE18)/Datos!BE18," - ")</f>
        <v>2.2253700461562951</v>
      </c>
      <c r="J18" s="359">
        <f>IF(ISNUMBER((Tasas!D18-Datos!BF18)/Datos!BF18),(Tasas!D18-Datos!BF18)/Datos!BF18," - ")</f>
        <v>1.3524590163934427</v>
      </c>
      <c r="K18" s="361">
        <f>IF(ISNUMBER((Tasas!E18-Datos!BG18)/Datos!BG18),(Tasas!E18-Datos!BG18)/Datos!BG18," - ")</f>
        <v>0.73231027077986688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5.2240717029449421E-2</v>
      </c>
      <c r="E20" s="364">
        <f>IF(ISNUMBER(
   IF(D_I="SI",(Datos!J20-Datos!T20)/Datos!T20,(Datos!J20+Datos!AD20-(Datos!T20+Datos!AL20))/(Datos!T20+Datos!AL20))
     ),IF(D_I="SI",(Datos!J20-Datos!T20)/Datos!T20,(Datos!J20+Datos!AD20-(Datos!T20+Datos!AL20))/(Datos!T20+Datos!AL20))," - ")</f>
        <v>0.11264685556323428</v>
      </c>
      <c r="F20" s="364">
        <f>IF(ISNUMBER(
   IF(D_I="SI",(Datos!K20-Datos!U20)/Datos!U20,(Datos!K20+Datos!AE20-(Datos!U20+Datos!AM20))/(Datos!U20+Datos!AM20))
     ),IF(D_I="SI",(Datos!K20-Datos!U20)/Datos!U20,(Datos!K20+Datos!AE20-(Datos!U20+Datos!AM20))/(Datos!U20+Datos!AM20))," - ")</f>
        <v>-7.6598311218335338E-2</v>
      </c>
      <c r="G20" s="365">
        <f>IF(ISNUMBER(
   IF(D_I="SI",(Datos!L20-Datos!V20)/Datos!V20,(Datos!L20+Datos!AF20-(Datos!V20+Datos!AN20))/(Datos!V20+Datos!AN20))
     ),IF(D_I="SI",(Datos!L20-Datos!V20)/Datos!V20,(Datos!L20+Datos!AF20-(Datos!V20+Datos!AN20))/(Datos!V20+Datos!AN20))," - ")</f>
        <v>0.12924805994112926</v>
      </c>
      <c r="H20" s="366">
        <f>IF(ISNUMBER((Datos!M20-Datos!W20)/Datos!W20),(Datos!M20-Datos!W20)/Datos!W20," - ")</f>
        <v>1.2931034482758621E-2</v>
      </c>
      <c r="I20" s="367">
        <f>IF(ISNUMBER((Tasas!C20-Datos!BE20)/Datos!BE20),(Tasas!C20-Datos!BE20)/Datos!BE20," - ")</f>
        <v>0.22292180495257491</v>
      </c>
      <c r="J20" s="365">
        <f>IF(ISNUMBER((Tasas!D20-Datos!BF20)/Datos!BF20),(Tasas!D20-Datos!BF20)/Datos!BF20," - ")</f>
        <v>9.6956012522804474E-2</v>
      </c>
      <c r="K20" s="368">
        <f>IF(ISNUMBER((Tasas!E20-Datos!BG20)/Datos!BG20),(Tasas!E20-Datos!BG20)/Datos!BG20," - ")</f>
        <v>0.15721306257621526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0.1645049544832031</v>
      </c>
      <c r="E21" s="373">
        <f>IF(ISNUMBER(
   IF(J_V="SI",(Datos!J21-Datos!T21)/Datos!T21,(Datos!J21+Datos!Z21-(Datos!T21+Datos!AH21))/(Datos!T21+Datos!AH21))
     ),IF(J_V="SI",(Datos!J21-Datos!T21)/Datos!T21,(Datos!J21+Datos!Z21-(Datos!T21+Datos!AH21))/(Datos!T21+Datos!AH21))," - ")</f>
        <v>9.1679273827534033E-2</v>
      </c>
      <c r="F21" s="373">
        <f>IF(ISNUMBER(
   IF(J_V="SI",(Datos!K21-Datos!U21)/Datos!U21,(Datos!K21+Datos!AA21-(Datos!U21+Datos!AI21))/(Datos!U21+Datos!AI21))
     ),IF(J_V="SI",(Datos!K21-Datos!U21)/Datos!U21,(Datos!K21+Datos!AA21-(Datos!U21+Datos!AI21))/(Datos!U21+Datos!AI21))," - ")</f>
        <v>1.6057091882247992E-2</v>
      </c>
      <c r="G21" s="374">
        <f>IF(ISNUMBER(
   IF(J_V="SI",(Datos!L21-Datos!V21)/Datos!V21,(Datos!L21+Datos!AB21-(Datos!V21+Datos!AJ21))/(Datos!V21+Datos!AJ21))
     ),IF(J_V="SI",(Datos!L21-Datos!V21)/Datos!V21,(Datos!L21+Datos!AB21-(Datos!V21+Datos!AJ21))/(Datos!V21+Datos!AJ21))," - ")</f>
        <v>0.18186223047726721</v>
      </c>
      <c r="H21" s="375">
        <f>IF(ISNUMBER((Datos!M21-Datos!W21)/Datos!W21),(Datos!M21-Datos!W21)/Datos!W21," - ")</f>
        <v>-6.688963210702341E-3</v>
      </c>
      <c r="I21" s="372">
        <f>IF(ISNUMBER((Tasas!C21-Datos!BE21)/Datos!BE21),(Tasas!C21-Datos!BE21)/Datos!BE21," - ")</f>
        <v>0.16318486423618661</v>
      </c>
      <c r="J21" s="373">
        <f>IF(ISNUMBER((Tasas!D21-Datos!BF21)/Datos!BF21),(Tasas!D21-Datos!BF21)/Datos!BF21," - ")</f>
        <v>-0.16364403682169815</v>
      </c>
      <c r="K21" s="374">
        <f>IF(ISNUMBER((Tasas!E21-Datos!BG21)/Datos!BG21),(Tasas!E21-Datos!BG21)/Datos!BG21," - ")</f>
        <v>0.1310309414135285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2.1439237228297017E-2</v>
      </c>
      <c r="E23" s="283">
        <f t="shared" si="1"/>
        <v>0.46349225264713712</v>
      </c>
      <c r="F23" s="283">
        <f t="shared" si="1"/>
        <v>0.29374888628708112</v>
      </c>
      <c r="G23" s="284">
        <f t="shared" si="1"/>
        <v>0.35606056217732313</v>
      </c>
      <c r="H23" s="290">
        <f t="shared" si="1"/>
        <v>0.36289820967181935</v>
      </c>
      <c r="I23" s="282">
        <f t="shared" si="1"/>
        <v>1.2668971338026807</v>
      </c>
      <c r="J23" s="283">
        <f t="shared" si="1"/>
        <v>0.63696018541611954</v>
      </c>
      <c r="K23" s="284">
        <f t="shared" si="1"/>
        <v>0.87278630980342509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WopCBcONscnLxKlPn0yNWiQoQAErTTwaMhyU/hEjZ3Bbej672Lj9hT5PJ1T8FH5xrPKHaNEHbRwdWEjLcux8w==" saltValue="JV3AShrDHaN23R2exZ3TN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